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06"/>
  <workbookPr/>
  <mc:AlternateContent xmlns:mc="http://schemas.openxmlformats.org/markup-compatibility/2006">
    <mc:Choice Requires="x15">
      <x15ac:absPath xmlns:x15ac="http://schemas.microsoft.com/office/spreadsheetml/2010/11/ac" url="https://d.docs.live.net/09bba2a53ef148f1/INCRESE Compartido/Vida/PPR/"/>
    </mc:Choice>
  </mc:AlternateContent>
  <xr:revisionPtr revIDLastSave="0" documentId="8_{F2BBE3C7-A8A2-4875-B4F5-3539E5267B53}" xr6:coauthVersionLast="47" xr6:coauthVersionMax="47" xr10:uidLastSave="{00000000-0000-0000-0000-000000000000}"/>
  <bookViews>
    <workbookView xWindow="1380" yWindow="520" windowWidth="32640" windowHeight="21080" xr2:uid="{78523FAA-AD1C-0945-AE00-AC02FC5D0057}"/>
  </bookViews>
  <sheets>
    <sheet name="PPR" sheetId="5" r:id="rId1"/>
    <sheet name="Hoja1" sheetId="17" state="hidden" r:id="rId2"/>
  </sheets>
  <definedNames>
    <definedName name="_xlnm.Print_Area" localSheetId="0">PPR!$A$1:$S$54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0" i="5" l="1"/>
  <c r="E20" i="5" s="1"/>
  <c r="B21" i="5"/>
  <c r="F21" i="5" s="1"/>
  <c r="B22" i="5"/>
  <c r="B23" i="5"/>
  <c r="B24" i="5"/>
  <c r="F24" i="5" s="1"/>
  <c r="B25" i="5"/>
  <c r="E8" i="5"/>
  <c r="D15" i="5" s="1"/>
  <c r="F16" i="5"/>
  <c r="F17" i="5"/>
  <c r="F18" i="5"/>
  <c r="F19" i="5"/>
  <c r="E16" i="5"/>
  <c r="E17" i="5"/>
  <c r="E18" i="5"/>
  <c r="E19" i="5"/>
  <c r="C15" i="5"/>
  <c r="C16" i="5"/>
  <c r="C17" i="5"/>
  <c r="C18" i="5"/>
  <c r="C19" i="5"/>
  <c r="B33" i="5"/>
  <c r="C33" i="5" s="1"/>
  <c r="B32" i="5"/>
  <c r="B31" i="5"/>
  <c r="B30" i="5"/>
  <c r="B29" i="5"/>
  <c r="C29" i="5" s="1"/>
  <c r="B28" i="5"/>
  <c r="B27" i="5"/>
  <c r="B26" i="5"/>
  <c r="B34" i="5"/>
  <c r="C34" i="5" s="1"/>
  <c r="M15" i="5"/>
  <c r="M16" i="5" s="1"/>
  <c r="F15" i="5"/>
  <c r="E15" i="5"/>
  <c r="D26" i="5" l="1"/>
  <c r="D25" i="5"/>
  <c r="D28" i="5"/>
  <c r="D30" i="5"/>
  <c r="D31" i="5"/>
  <c r="D32" i="5"/>
  <c r="D27" i="5"/>
  <c r="E22" i="5"/>
  <c r="E23" i="5"/>
  <c r="C22" i="5"/>
  <c r="F22" i="5"/>
  <c r="C20" i="5"/>
  <c r="F20" i="5"/>
  <c r="C21" i="5"/>
  <c r="E21" i="5"/>
  <c r="F23" i="5"/>
  <c r="C24" i="5"/>
  <c r="C23" i="5"/>
  <c r="E24" i="5"/>
  <c r="N16" i="5"/>
  <c r="M32" i="5"/>
  <c r="M28" i="5"/>
  <c r="M34" i="5"/>
  <c r="M30" i="5"/>
  <c r="M33" i="5"/>
  <c r="M29" i="5"/>
  <c r="M31" i="5"/>
  <c r="M27" i="5"/>
  <c r="M22" i="5"/>
  <c r="M18" i="5"/>
  <c r="N18" i="5" s="1"/>
  <c r="M19" i="5"/>
  <c r="N19" i="5" s="1"/>
  <c r="M21" i="5"/>
  <c r="M17" i="5"/>
  <c r="N17" i="5" s="1"/>
  <c r="M23" i="5"/>
  <c r="M24" i="5"/>
  <c r="M20" i="5"/>
  <c r="N20" i="5" s="1"/>
  <c r="M26" i="5"/>
  <c r="M25" i="5"/>
  <c r="F33" i="5"/>
  <c r="F32" i="5"/>
  <c r="F31" i="5"/>
  <c r="F27" i="5"/>
  <c r="F26" i="5"/>
  <c r="F25" i="5"/>
  <c r="F28" i="5"/>
  <c r="F29" i="5"/>
  <c r="F30" i="5"/>
  <c r="E25" i="5"/>
  <c r="E33" i="5"/>
  <c r="E32" i="5"/>
  <c r="E27" i="5"/>
  <c r="F34" i="5"/>
  <c r="E26" i="5"/>
  <c r="E29" i="5"/>
  <c r="E34" i="5"/>
  <c r="E28" i="5"/>
  <c r="E30" i="5"/>
  <c r="C26" i="5"/>
  <c r="C30" i="5"/>
  <c r="E31" i="5"/>
  <c r="C32" i="5"/>
  <c r="C28" i="5"/>
  <c r="D17" i="5"/>
  <c r="D18" i="5"/>
  <c r="D22" i="5"/>
  <c r="D20" i="5"/>
  <c r="D23" i="5"/>
  <c r="D21" i="5"/>
  <c r="D24" i="5"/>
  <c r="D19" i="5"/>
  <c r="D16" i="5"/>
  <c r="D33" i="5"/>
  <c r="D29" i="5"/>
  <c r="C31" i="5"/>
  <c r="C27" i="5"/>
  <c r="C25" i="5"/>
  <c r="N15" i="5"/>
  <c r="P27" i="5" s="1"/>
  <c r="G15" i="5"/>
  <c r="E10" i="5"/>
  <c r="H30" i="5" l="1"/>
  <c r="N22" i="5"/>
  <c r="N23" i="5"/>
  <c r="N24" i="5"/>
  <c r="N21" i="5"/>
  <c r="G34" i="5"/>
  <c r="G38" i="5"/>
  <c r="P18" i="5" s="1"/>
  <c r="G25" i="5"/>
  <c r="G27" i="5"/>
  <c r="N30" i="5"/>
  <c r="N33" i="5"/>
  <c r="N32" i="5"/>
  <c r="I30" i="5"/>
  <c r="J30" i="5" s="1"/>
  <c r="N27" i="5"/>
  <c r="N31" i="5"/>
  <c r="N26" i="5"/>
  <c r="G33" i="5"/>
  <c r="N29" i="5"/>
  <c r="N28" i="5"/>
  <c r="N25" i="5"/>
  <c r="G31" i="5"/>
  <c r="H33" i="5"/>
  <c r="I33" i="5" s="1"/>
  <c r="J33" i="5" s="1"/>
  <c r="G29" i="5"/>
  <c r="G32" i="5"/>
  <c r="H31" i="5"/>
  <c r="I31" i="5" s="1"/>
  <c r="J31" i="5" s="1"/>
  <c r="H32" i="5"/>
  <c r="I32" i="5" s="1"/>
  <c r="J32" i="5" s="1"/>
  <c r="G19" i="5"/>
  <c r="H19" i="5"/>
  <c r="I19" i="5" s="1"/>
  <c r="J19" i="5" s="1"/>
  <c r="G20" i="5"/>
  <c r="H20" i="5"/>
  <c r="I20" i="5" s="1"/>
  <c r="J20" i="5" s="1"/>
  <c r="G22" i="5"/>
  <c r="H22" i="5"/>
  <c r="I22" i="5" s="1"/>
  <c r="J22" i="5" s="1"/>
  <c r="G21" i="5"/>
  <c r="H21" i="5"/>
  <c r="I21" i="5" s="1"/>
  <c r="J21" i="5" s="1"/>
  <c r="G18" i="5"/>
  <c r="H18" i="5"/>
  <c r="I18" i="5" s="1"/>
  <c r="J18" i="5" s="1"/>
  <c r="G16" i="5"/>
  <c r="H16" i="5"/>
  <c r="I16" i="5" s="1"/>
  <c r="J16" i="5" s="1"/>
  <c r="G17" i="5"/>
  <c r="H17" i="5"/>
  <c r="I17" i="5" s="1"/>
  <c r="J17" i="5" s="1"/>
  <c r="G23" i="5"/>
  <c r="H23" i="5"/>
  <c r="I23" i="5" s="1"/>
  <c r="J23" i="5" s="1"/>
  <c r="G24" i="5"/>
  <c r="H24" i="5"/>
  <c r="I24" i="5" s="1"/>
  <c r="J24" i="5" s="1"/>
  <c r="H27" i="5"/>
  <c r="I27" i="5" s="1"/>
  <c r="J27" i="5" s="1"/>
  <c r="H28" i="5"/>
  <c r="I28" i="5" s="1"/>
  <c r="J28" i="5" s="1"/>
  <c r="H25" i="5"/>
  <c r="I25" i="5" s="1"/>
  <c r="J25" i="5" s="1"/>
  <c r="H26" i="5"/>
  <c r="I26" i="5" s="1"/>
  <c r="J26" i="5" s="1"/>
  <c r="H29" i="5"/>
  <c r="I29" i="5" s="1"/>
  <c r="J29" i="5" s="1"/>
  <c r="G30" i="5"/>
  <c r="G28" i="5"/>
  <c r="G26" i="5"/>
  <c r="H15" i="5"/>
  <c r="I15" i="5" s="1"/>
  <c r="J15" i="5" s="1"/>
  <c r="K15" i="5" s="1"/>
  <c r="X15" i="5" s="1"/>
  <c r="Y15" i="5" s="1"/>
  <c r="Z15" i="5" s="1"/>
  <c r="H34" i="5"/>
  <c r="I34" i="5" s="1"/>
  <c r="J34" i="5" s="1"/>
  <c r="K27" i="5" l="1"/>
  <c r="X27" i="5" s="1"/>
  <c r="K34" i="5"/>
  <c r="X34" i="5" s="1"/>
  <c r="K25" i="5"/>
  <c r="X25" i="5" s="1"/>
  <c r="K31" i="5"/>
  <c r="X31" i="5" s="1"/>
  <c r="K30" i="5"/>
  <c r="X30" i="5" s="1"/>
  <c r="K33" i="5"/>
  <c r="X33" i="5" s="1"/>
  <c r="K29" i="5"/>
  <c r="X29" i="5" s="1"/>
  <c r="K32" i="5"/>
  <c r="X32" i="5" s="1"/>
  <c r="K16" i="5"/>
  <c r="X16" i="5" s="1"/>
  <c r="K21" i="5"/>
  <c r="X21" i="5" s="1"/>
  <c r="K20" i="5"/>
  <c r="X20" i="5" s="1"/>
  <c r="K17" i="5"/>
  <c r="X17" i="5" s="1"/>
  <c r="K18" i="5"/>
  <c r="X18" i="5" s="1"/>
  <c r="K22" i="5"/>
  <c r="X22" i="5" s="1"/>
  <c r="K19" i="5"/>
  <c r="X19" i="5" s="1"/>
  <c r="K26" i="5"/>
  <c r="X26" i="5" s="1"/>
  <c r="K23" i="5"/>
  <c r="X23" i="5" s="1"/>
  <c r="K28" i="5"/>
  <c r="X28" i="5" s="1"/>
  <c r="K24" i="5"/>
  <c r="X24" i="5" s="1"/>
  <c r="Y16" i="5" l="1"/>
  <c r="Z16" i="5" s="1"/>
  <c r="Y17" i="5" s="1"/>
  <c r="Z17" i="5" s="1"/>
  <c r="Y18" i="5" s="1"/>
  <c r="Z18" i="5" s="1"/>
  <c r="Y19" i="5" s="1"/>
  <c r="Z19" i="5" s="1"/>
  <c r="X35" i="5"/>
  <c r="D35" i="5"/>
  <c r="Z33" i="5" l="1"/>
  <c r="Z32" i="5"/>
  <c r="Z30" i="5"/>
  <c r="Z31" i="5"/>
  <c r="Z29" i="5"/>
  <c r="Z24" i="5"/>
  <c r="Z26" i="5"/>
  <c r="Z23" i="5"/>
  <c r="Z28" i="5"/>
  <c r="Z25" i="5"/>
  <c r="Z27" i="5"/>
  <c r="Z22" i="5"/>
  <c r="Z21" i="5"/>
  <c r="Z20" i="5"/>
  <c r="Z34" i="5"/>
  <c r="Z35" i="5" s="1"/>
  <c r="G35" i="5"/>
  <c r="J35" i="5"/>
  <c r="P34" i="5" s="1"/>
  <c r="H35" i="5"/>
  <c r="N34" i="5" l="1"/>
  <c r="K35" i="5"/>
  <c r="P14" i="5" s="1"/>
  <c r="I38" i="5" l="1"/>
  <c r="R21" i="5" s="1"/>
  <c r="M35" i="5" l="1"/>
  <c r="N35" i="5"/>
</calcChain>
</file>

<file path=xl/sharedStrings.xml><?xml version="1.0" encoding="utf-8"?>
<sst xmlns="http://schemas.openxmlformats.org/spreadsheetml/2006/main" count="52" uniqueCount="50">
  <si>
    <t>ESQUEMA DE AHORRO PARA EL RETIRO</t>
  </si>
  <si>
    <t>PLAN PERSONAL DE RETIRO - Art. 151</t>
  </si>
  <si>
    <t>ESCENARIO DE AHORRO EN OTROS INTRUMENTOS</t>
  </si>
  <si>
    <t>Oscar</t>
  </si>
  <si>
    <t>DE INVERSIÓN</t>
  </si>
  <si>
    <t>Prima Pesos</t>
  </si>
  <si>
    <t>Inc. UDI</t>
  </si>
  <si>
    <t>Que tasa se requiere en otros instrumentos de inversión</t>
  </si>
  <si>
    <t>UDI</t>
  </si>
  <si>
    <t>Tasa ISR</t>
  </si>
  <si>
    <t>para llegar al mismo monto de ahorro</t>
  </si>
  <si>
    <t>Prima UDIS</t>
  </si>
  <si>
    <t>Prima Deduc. UDIS</t>
  </si>
  <si>
    <t>Tasa Requerida</t>
  </si>
  <si>
    <t>Factor de Prima Ded</t>
  </si>
  <si>
    <t>Plazo Pagos</t>
  </si>
  <si>
    <t>Total de Aportaciones Reales:</t>
  </si>
  <si>
    <t>Año</t>
  </si>
  <si>
    <t>Edad</t>
  </si>
  <si>
    <t>Aportación UDIS</t>
  </si>
  <si>
    <t>Valor de la UDI</t>
  </si>
  <si>
    <t>Aportación en Pesos</t>
  </si>
  <si>
    <t>Prima Deducible UDIS</t>
  </si>
  <si>
    <t>Prima Deducible PESOS</t>
  </si>
  <si>
    <t>BENEFICIO Deducción</t>
  </si>
  <si>
    <t>Aportación REAL</t>
  </si>
  <si>
    <t>Suma Asegurada</t>
  </si>
  <si>
    <t>Rendimiento en Fondos</t>
  </si>
  <si>
    <t>Inicio</t>
  </si>
  <si>
    <t>Final</t>
  </si>
  <si>
    <t>UDIS</t>
  </si>
  <si>
    <t>PESOS</t>
  </si>
  <si>
    <t>Inversión</t>
  </si>
  <si>
    <t>Acumulado</t>
  </si>
  <si>
    <t>Fondo Final:</t>
  </si>
  <si>
    <t>*Exento de acuerdo al incremento de la UMA</t>
  </si>
  <si>
    <t>Rendimiento:</t>
  </si>
  <si>
    <t>Retiro cónyuge</t>
  </si>
  <si>
    <t>*Se actualiza cada año de acuerdo al valor de la UDI</t>
  </si>
  <si>
    <t>Se deja de pagar al SAT</t>
  </si>
  <si>
    <t>Recuperación Año 65</t>
  </si>
  <si>
    <t>RENDIMIENTO</t>
  </si>
  <si>
    <t>MXN</t>
  </si>
  <si>
    <r>
      <rPr>
        <i/>
        <sz val="24"/>
        <color theme="7" tint="-0.499984740745262"/>
        <rFont val="Arial"/>
        <family val="2"/>
      </rPr>
      <t xml:space="preserve">“No ahorres lo que te queda después de gastar, gasta lo que te queda después de ahorrar.” </t>
    </r>
    <r>
      <rPr>
        <i/>
        <sz val="20"/>
        <color theme="7" tint="-0.499984740745262"/>
        <rFont val="Arial"/>
        <family val="2"/>
      </rPr>
      <t xml:space="preserve">  </t>
    </r>
  </si>
  <si>
    <t>Warren Buffett</t>
  </si>
  <si>
    <t xml:space="preserve">AGENTE:   </t>
  </si>
  <si>
    <t>Oscar G. Arroyo Durán</t>
  </si>
  <si>
    <t>333 677 6000</t>
  </si>
  <si>
    <t>Plazos</t>
  </si>
  <si>
    <t>EDADES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</si>
</sst>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&quot;$&quot;* #,##0_-;\-&quot;$&quot;* #,##0_-;_-&quot;$&quot;* &quot;-&quot;??_-;_-@_-"/>
    <numFmt numFmtId="166" formatCode="&quot;$&quot;#,##0"/>
    <numFmt numFmtId="167" formatCode="0.0%"/>
  </numFmts>
  <fonts count="26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2"/>
      <color theme="0"/>
      <name val="Aptos Narrow"/>
      <family val="2"/>
      <scheme val="minor"/>
    </font>
    <font>
      <b/>
      <sz val="12"/>
      <color theme="1"/>
      <name val="Aptos Narrow"/>
      <scheme val="minor"/>
    </font>
    <font>
      <b/>
      <sz val="12"/>
      <color theme="0"/>
      <name val="Aptos Narrow"/>
      <scheme val="minor"/>
    </font>
    <font>
      <sz val="12"/>
      <color theme="0"/>
      <name val="Aptos Narrow"/>
      <scheme val="minor"/>
    </font>
    <font>
      <b/>
      <sz val="12"/>
      <color theme="2" tint="-0.499984740745262"/>
      <name val="Aptos Narrow"/>
      <scheme val="minor"/>
    </font>
    <font>
      <b/>
      <sz val="16"/>
      <color theme="1"/>
      <name val="Aptos Narrow"/>
      <scheme val="minor"/>
    </font>
    <font>
      <b/>
      <sz val="11"/>
      <color theme="0"/>
      <name val="Aptos Narrow"/>
      <scheme val="minor"/>
    </font>
    <font>
      <i/>
      <sz val="20"/>
      <color theme="7" tint="-0.499984740745262"/>
      <name val="Arial"/>
      <family val="2"/>
    </font>
    <font>
      <i/>
      <sz val="24"/>
      <color theme="7" tint="-0.499984740745262"/>
      <name val="Arial"/>
      <family val="2"/>
    </font>
    <font>
      <b/>
      <sz val="12"/>
      <color theme="2" tint="-0.499984740745262"/>
      <name val="Aptos Narrow (Cuerpo)"/>
    </font>
    <font>
      <b/>
      <sz val="12"/>
      <color theme="0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20"/>
      <color theme="3" tint="0.499984740745262"/>
      <name val="Aptos Narrow"/>
      <family val="2"/>
      <scheme val="minor"/>
    </font>
    <font>
      <b/>
      <sz val="18"/>
      <color theme="0" tint="-0.499984740745262"/>
      <name val="Aptos Narrow"/>
      <family val="2"/>
      <scheme val="minor"/>
    </font>
    <font>
      <b/>
      <sz val="18"/>
      <color rgb="FF92D050"/>
      <name val="Aptos Narrow"/>
      <family val="2"/>
      <scheme val="minor"/>
    </font>
    <font>
      <b/>
      <sz val="20"/>
      <color rgb="FFFF0000"/>
      <name val="Aptos Narrow"/>
      <family val="2"/>
      <scheme val="minor"/>
    </font>
    <font>
      <i/>
      <sz val="10"/>
      <color theme="3" tint="0.499984740745262"/>
      <name val="Aptos Narrow"/>
      <family val="2"/>
      <scheme val="minor"/>
    </font>
    <font>
      <b/>
      <sz val="22"/>
      <color theme="9" tint="-0.249977111117893"/>
      <name val="Aptos Narrow"/>
      <family val="2"/>
      <scheme val="minor"/>
    </font>
    <font>
      <b/>
      <sz val="14"/>
      <color theme="1" tint="0.499984740745262"/>
      <name val="Aptos Narrow"/>
      <family val="2"/>
      <scheme val="minor"/>
    </font>
    <font>
      <b/>
      <i/>
      <sz val="16"/>
      <color theme="7" tint="-0.499984740745262"/>
      <name val="Arial"/>
      <family val="2"/>
    </font>
    <font>
      <b/>
      <sz val="12"/>
      <color theme="1" tint="0.34998626667073579"/>
      <name val="Aptos Narrow"/>
      <scheme val="minor"/>
    </font>
    <font>
      <b/>
      <sz val="14"/>
      <color theme="1" tint="0.34998626667073579"/>
      <name val="Aptos Narrow"/>
      <scheme val="minor"/>
    </font>
    <font>
      <i/>
      <sz val="20"/>
      <color theme="1" tint="0.34998626667073579"/>
      <name val="Arial"/>
      <family val="2"/>
    </font>
    <font>
      <sz val="10"/>
      <color theme="1"/>
      <name val="Aptos Narrow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24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theme="0"/>
      </right>
      <top/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42">
    <xf numFmtId="0" fontId="0" fillId="0" borderId="0" xfId="0"/>
    <xf numFmtId="165" fontId="0" fillId="2" borderId="0" xfId="1" applyNumberFormat="1" applyFont="1" applyFill="1" applyProtection="1"/>
    <xf numFmtId="165" fontId="8" fillId="7" borderId="1" xfId="1" applyNumberFormat="1" applyFont="1" applyFill="1" applyBorder="1" applyAlignment="1" applyProtection="1">
      <alignment horizontal="center" vertical="center" wrapText="1"/>
    </xf>
    <xf numFmtId="165" fontId="0" fillId="4" borderId="0" xfId="1" applyNumberFormat="1" applyFont="1" applyFill="1" applyProtection="1"/>
    <xf numFmtId="9" fontId="3" fillId="6" borderId="1" xfId="2" applyFont="1" applyFill="1" applyBorder="1" applyAlignment="1" applyProtection="1">
      <alignment horizontal="center"/>
    </xf>
    <xf numFmtId="0" fontId="0" fillId="0" borderId="0" xfId="0" applyAlignment="1">
      <alignment horizontal="center"/>
    </xf>
    <xf numFmtId="165" fontId="2" fillId="14" borderId="5" xfId="0" applyNumberFormat="1" applyFont="1" applyFill="1" applyBorder="1" applyProtection="1">
      <protection locked="0"/>
    </xf>
    <xf numFmtId="0" fontId="6" fillId="15" borderId="5" xfId="0" applyFont="1" applyFill="1" applyBorder="1" applyAlignment="1" applyProtection="1">
      <alignment horizontal="center"/>
      <protection locked="0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1" xfId="0" applyBorder="1"/>
    <xf numFmtId="0" fontId="0" fillId="3" borderId="0" xfId="0" applyFill="1"/>
    <xf numFmtId="0" fontId="7" fillId="2" borderId="0" xfId="0" applyFont="1" applyFill="1" applyAlignment="1">
      <alignment horizontal="left"/>
    </xf>
    <xf numFmtId="0" fontId="0" fillId="2" borderId="0" xfId="0" applyFill="1" applyAlignment="1">
      <alignment horizontal="left"/>
    </xf>
    <xf numFmtId="0" fontId="0" fillId="2" borderId="9" xfId="0" applyFill="1" applyBorder="1"/>
    <xf numFmtId="0" fontId="0" fillId="4" borderId="0" xfId="0" applyFill="1"/>
    <xf numFmtId="0" fontId="13" fillId="5" borderId="0" xfId="0" applyFont="1" applyFill="1" applyAlignment="1">
      <alignment vertical="center"/>
    </xf>
    <xf numFmtId="0" fontId="4" fillId="8" borderId="0" xfId="0" applyFont="1" applyFill="1" applyAlignment="1">
      <alignment vertical="center"/>
    </xf>
    <xf numFmtId="0" fontId="0" fillId="0" borderId="2" xfId="0" applyBorder="1"/>
    <xf numFmtId="0" fontId="0" fillId="3" borderId="0" xfId="0" applyFill="1" applyAlignment="1">
      <alignment vertical="center"/>
    </xf>
    <xf numFmtId="0" fontId="4" fillId="9" borderId="1" xfId="0" applyFont="1" applyFill="1" applyBorder="1" applyAlignment="1">
      <alignment horizontal="center" vertical="center" wrapText="1"/>
    </xf>
    <xf numFmtId="2" fontId="0" fillId="2" borderId="0" xfId="0" applyNumberFormat="1" applyFill="1" applyAlignment="1">
      <alignment horizontal="center"/>
    </xf>
    <xf numFmtId="165" fontId="0" fillId="2" borderId="0" xfId="0" applyNumberFormat="1" applyFill="1"/>
    <xf numFmtId="0" fontId="0" fillId="4" borderId="0" xfId="0" applyFill="1" applyAlignment="1">
      <alignment horizontal="center"/>
    </xf>
    <xf numFmtId="2" fontId="0" fillId="4" borderId="0" xfId="0" applyNumberFormat="1" applyFill="1" applyAlignment="1">
      <alignment horizontal="center"/>
    </xf>
    <xf numFmtId="165" fontId="0" fillId="4" borderId="0" xfId="0" applyNumberFormat="1" applyFill="1"/>
    <xf numFmtId="165" fontId="0" fillId="10" borderId="0" xfId="0" applyNumberFormat="1" applyFill="1"/>
    <xf numFmtId="0" fontId="0" fillId="0" borderId="3" xfId="0" applyBorder="1"/>
    <xf numFmtId="0" fontId="5" fillId="11" borderId="0" xfId="0" applyFont="1" applyFill="1" applyAlignment="1">
      <alignment horizontal="center"/>
    </xf>
    <xf numFmtId="165" fontId="4" fillId="11" borderId="0" xfId="0" applyNumberFormat="1" applyFont="1" applyFill="1"/>
    <xf numFmtId="165" fontId="4" fillId="12" borderId="0" xfId="0" applyNumberFormat="1" applyFont="1" applyFill="1"/>
    <xf numFmtId="0" fontId="3" fillId="6" borderId="0" xfId="0" applyFont="1" applyFill="1" applyAlignment="1">
      <alignment horizontal="center"/>
    </xf>
    <xf numFmtId="165" fontId="2" fillId="14" borderId="0" xfId="0" applyNumberFormat="1" applyFont="1" applyFill="1"/>
    <xf numFmtId="0" fontId="0" fillId="0" borderId="1" xfId="0" applyBorder="1" applyAlignment="1">
      <alignment horizontal="center"/>
    </xf>
    <xf numFmtId="0" fontId="9" fillId="0" borderId="1" xfId="0" applyFont="1" applyBorder="1" applyAlignment="1">
      <alignment vertical="center" wrapText="1"/>
    </xf>
    <xf numFmtId="0" fontId="0" fillId="3" borderId="0" xfId="0" applyFill="1" applyAlignment="1">
      <alignment horizontal="center"/>
    </xf>
    <xf numFmtId="10" fontId="0" fillId="4" borderId="5" xfId="0" applyNumberFormat="1" applyFill="1" applyBorder="1" applyAlignment="1" applyProtection="1">
      <alignment horizontal="center"/>
      <protection locked="0"/>
    </xf>
    <xf numFmtId="9" fontId="13" fillId="5" borderId="5" xfId="0" applyNumberFormat="1" applyFont="1" applyFill="1" applyBorder="1" applyAlignment="1" applyProtection="1">
      <alignment horizontal="center" vertical="center"/>
      <protection locked="0"/>
    </xf>
    <xf numFmtId="1" fontId="13" fillId="5" borderId="5" xfId="0" applyNumberFormat="1" applyFont="1" applyFill="1" applyBorder="1" applyAlignment="1" applyProtection="1">
      <alignment horizontal="center" vertical="center"/>
      <protection locked="0"/>
    </xf>
    <xf numFmtId="0" fontId="24" fillId="0" borderId="1" xfId="0" applyFont="1" applyBorder="1" applyAlignment="1">
      <alignment vertical="center" wrapText="1"/>
    </xf>
    <xf numFmtId="0" fontId="22" fillId="0" borderId="1" xfId="0" applyFont="1" applyBorder="1" applyAlignment="1">
      <alignment horizontal="right"/>
    </xf>
    <xf numFmtId="0" fontId="23" fillId="15" borderId="2" xfId="0" applyFont="1" applyFill="1" applyBorder="1" applyProtection="1">
      <protection locked="0"/>
    </xf>
    <xf numFmtId="0" fontId="25" fillId="0" borderId="1" xfId="0" applyFont="1" applyBorder="1"/>
    <xf numFmtId="0" fontId="0" fillId="18" borderId="1" xfId="0" applyFill="1" applyBorder="1" applyAlignment="1">
      <alignment horizontal="center" vertical="center" wrapText="1"/>
    </xf>
    <xf numFmtId="165" fontId="0" fillId="0" borderId="1" xfId="0" applyNumberFormat="1" applyBorder="1"/>
    <xf numFmtId="0" fontId="4" fillId="19" borderId="1" xfId="0" applyFont="1" applyFill="1" applyBorder="1"/>
    <xf numFmtId="0" fontId="3" fillId="0" borderId="3" xfId="0" applyFont="1" applyBorder="1"/>
    <xf numFmtId="0" fontId="25" fillId="0" borderId="3" xfId="0" applyFont="1" applyBorder="1"/>
    <xf numFmtId="0" fontId="25" fillId="0" borderId="23" xfId="0" applyFont="1" applyBorder="1"/>
    <xf numFmtId="167" fontId="2" fillId="17" borderId="22" xfId="0" applyNumberFormat="1" applyFont="1" applyFill="1" applyBorder="1" applyAlignment="1" applyProtection="1">
      <alignment horizontal="center" vertical="center"/>
      <protection locked="0"/>
    </xf>
    <xf numFmtId="0" fontId="0" fillId="0" borderId="21" xfId="0" applyBorder="1"/>
    <xf numFmtId="0" fontId="0" fillId="18" borderId="3" xfId="0" applyFill="1" applyBorder="1" applyAlignment="1">
      <alignment horizontal="center" vertical="center" wrapText="1"/>
    </xf>
    <xf numFmtId="165" fontId="0" fillId="0" borderId="3" xfId="0" applyNumberFormat="1" applyBorder="1"/>
    <xf numFmtId="165" fontId="4" fillId="19" borderId="3" xfId="0" applyNumberFormat="1" applyFont="1" applyFill="1" applyBorder="1"/>
    <xf numFmtId="4" fontId="0" fillId="0" borderId="3" xfId="0" applyNumberFormat="1" applyBorder="1"/>
    <xf numFmtId="0" fontId="9" fillId="0" borderId="3" xfId="0" applyFont="1" applyBorder="1" applyAlignment="1">
      <alignment vertical="center" wrapText="1"/>
    </xf>
    <xf numFmtId="0" fontId="0" fillId="18" borderId="2" xfId="0" applyFill="1" applyBorder="1" applyAlignment="1">
      <alignment horizontal="center" vertical="center" wrapText="1"/>
    </xf>
    <xf numFmtId="165" fontId="0" fillId="0" borderId="2" xfId="0" applyNumberFormat="1" applyBorder="1"/>
    <xf numFmtId="9" fontId="4" fillId="19" borderId="2" xfId="2" applyFont="1" applyFill="1" applyBorder="1" applyAlignment="1" applyProtection="1">
      <alignment horizontal="center"/>
    </xf>
    <xf numFmtId="0" fontId="9" fillId="0" borderId="2" xfId="0" applyFont="1" applyBorder="1" applyAlignment="1">
      <alignment vertical="center" wrapText="1"/>
    </xf>
    <xf numFmtId="0" fontId="0" fillId="0" borderId="6" xfId="0" applyBorder="1"/>
    <xf numFmtId="0" fontId="0" fillId="0" borderId="18" xfId="0" applyBorder="1"/>
    <xf numFmtId="0" fontId="0" fillId="0" borderId="16" xfId="0" applyBorder="1"/>
    <xf numFmtId="0" fontId="0" fillId="2" borderId="1" xfId="0" applyFill="1" applyBorder="1"/>
    <xf numFmtId="0" fontId="15" fillId="2" borderId="16" xfId="0" applyFont="1" applyFill="1" applyBorder="1" applyAlignment="1">
      <alignment horizontal="center"/>
    </xf>
    <xf numFmtId="0" fontId="15" fillId="2" borderId="17" xfId="0" applyFont="1" applyFill="1" applyBorder="1" applyAlignment="1">
      <alignment horizontal="center"/>
    </xf>
    <xf numFmtId="0" fontId="15" fillId="2" borderId="18" xfId="0" applyFont="1" applyFill="1" applyBorder="1" applyAlignment="1">
      <alignment horizontal="center"/>
    </xf>
    <xf numFmtId="0" fontId="4" fillId="9" borderId="2" xfId="0" applyFont="1" applyFill="1" applyBorder="1" applyAlignment="1">
      <alignment horizontal="center" vertical="center" wrapText="1"/>
    </xf>
    <xf numFmtId="0" fontId="19" fillId="0" borderId="7" xfId="0" applyFont="1" applyBorder="1" applyAlignment="1">
      <alignment horizontal="left" vertical="center"/>
    </xf>
    <xf numFmtId="0" fontId="23" fillId="15" borderId="2" xfId="0" applyFont="1" applyFill="1" applyBorder="1" applyAlignment="1" applyProtection="1">
      <alignment horizontal="center"/>
      <protection locked="0"/>
    </xf>
    <xf numFmtId="0" fontId="23" fillId="15" borderId="4" xfId="0" applyFont="1" applyFill="1" applyBorder="1" applyAlignment="1" applyProtection="1">
      <alignment horizontal="center"/>
      <protection locked="0"/>
    </xf>
    <xf numFmtId="0" fontId="23" fillId="15" borderId="3" xfId="0" applyFont="1" applyFill="1" applyBorder="1" applyAlignment="1" applyProtection="1">
      <alignment horizontal="center"/>
      <protection locked="0"/>
    </xf>
    <xf numFmtId="0" fontId="9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0" fillId="13" borderId="1" xfId="0" applyFill="1" applyBorder="1" applyAlignment="1">
      <alignment horizontal="center" vertical="center" wrapText="1"/>
    </xf>
    <xf numFmtId="0" fontId="3" fillId="13" borderId="2" xfId="0" applyFont="1" applyFill="1" applyBorder="1" applyAlignment="1">
      <alignment horizontal="center"/>
    </xf>
    <xf numFmtId="0" fontId="3" fillId="13" borderId="4" xfId="0" applyFont="1" applyFill="1" applyBorder="1" applyAlignment="1">
      <alignment horizontal="center"/>
    </xf>
    <xf numFmtId="0" fontId="3" fillId="13" borderId="3" xfId="0" applyFont="1" applyFill="1" applyBorder="1" applyAlignment="1">
      <alignment horizontal="center"/>
    </xf>
    <xf numFmtId="0" fontId="15" fillId="2" borderId="2" xfId="0" applyFont="1" applyFill="1" applyBorder="1" applyAlignment="1">
      <alignment horizontal="center"/>
    </xf>
    <xf numFmtId="0" fontId="15" fillId="2" borderId="4" xfId="0" applyFont="1" applyFill="1" applyBorder="1" applyAlignment="1">
      <alignment horizontal="center"/>
    </xf>
    <xf numFmtId="0" fontId="15" fillId="2" borderId="3" xfId="0" applyFont="1" applyFill="1" applyBorder="1" applyAlignment="1">
      <alignment horizontal="center"/>
    </xf>
    <xf numFmtId="166" fontId="14" fillId="0" borderId="16" xfId="3" applyNumberFormat="1" applyFont="1" applyBorder="1" applyAlignment="1" applyProtection="1">
      <alignment horizontal="center" vertical="center"/>
    </xf>
    <xf numFmtId="166" fontId="14" fillId="0" borderId="17" xfId="3" applyNumberFormat="1" applyFont="1" applyBorder="1" applyAlignment="1" applyProtection="1">
      <alignment horizontal="center" vertical="center"/>
    </xf>
    <xf numFmtId="166" fontId="14" fillId="0" borderId="18" xfId="3" applyNumberFormat="1" applyFont="1" applyBorder="1" applyAlignment="1" applyProtection="1">
      <alignment horizontal="center" vertical="center"/>
    </xf>
    <xf numFmtId="166" fontId="14" fillId="0" borderId="19" xfId="3" applyNumberFormat="1" applyFont="1" applyBorder="1" applyAlignment="1" applyProtection="1">
      <alignment horizontal="center" vertical="center"/>
    </xf>
    <xf numFmtId="166" fontId="14" fillId="0" borderId="20" xfId="3" applyNumberFormat="1" applyFont="1" applyBorder="1" applyAlignment="1" applyProtection="1">
      <alignment horizontal="center" vertical="center"/>
    </xf>
    <xf numFmtId="166" fontId="14" fillId="0" borderId="21" xfId="3" applyNumberFormat="1" applyFont="1" applyBorder="1" applyAlignment="1" applyProtection="1">
      <alignment horizontal="center" vertical="center"/>
    </xf>
    <xf numFmtId="0" fontId="18" fillId="0" borderId="2" xfId="0" applyFont="1" applyBorder="1" applyAlignment="1">
      <alignment horizontal="center" vertical="top"/>
    </xf>
    <xf numFmtId="0" fontId="18" fillId="0" borderId="4" xfId="0" applyFont="1" applyBorder="1" applyAlignment="1">
      <alignment horizontal="center" vertical="top"/>
    </xf>
    <xf numFmtId="0" fontId="18" fillId="0" borderId="3" xfId="0" applyFont="1" applyBorder="1" applyAlignment="1">
      <alignment horizontal="center" vertical="top"/>
    </xf>
    <xf numFmtId="0" fontId="16" fillId="0" borderId="16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9" fontId="19" fillId="0" borderId="6" xfId="0" applyNumberFormat="1" applyFont="1" applyBorder="1" applyAlignment="1">
      <alignment horizontal="left" vertical="center"/>
    </xf>
    <xf numFmtId="0" fontId="19" fillId="0" borderId="7" xfId="0" applyFont="1" applyBorder="1" applyAlignment="1">
      <alignment horizontal="left" vertical="center"/>
    </xf>
    <xf numFmtId="166" fontId="17" fillId="0" borderId="16" xfId="3" applyNumberFormat="1" applyFont="1" applyBorder="1" applyAlignment="1" applyProtection="1">
      <alignment horizontal="center" vertical="center"/>
    </xf>
    <xf numFmtId="166" fontId="17" fillId="0" borderId="17" xfId="3" applyNumberFormat="1" applyFont="1" applyBorder="1" applyAlignment="1" applyProtection="1">
      <alignment horizontal="center" vertical="center"/>
    </xf>
    <xf numFmtId="166" fontId="17" fillId="0" borderId="18" xfId="3" applyNumberFormat="1" applyFont="1" applyBorder="1" applyAlignment="1" applyProtection="1">
      <alignment horizontal="center" vertical="center"/>
    </xf>
    <xf numFmtId="166" fontId="17" fillId="0" borderId="19" xfId="3" applyNumberFormat="1" applyFont="1" applyBorder="1" applyAlignment="1" applyProtection="1">
      <alignment horizontal="center" vertical="center"/>
    </xf>
    <xf numFmtId="166" fontId="17" fillId="0" borderId="20" xfId="3" applyNumberFormat="1" applyFont="1" applyBorder="1" applyAlignment="1" applyProtection="1">
      <alignment horizontal="center" vertical="center"/>
    </xf>
    <xf numFmtId="166" fontId="17" fillId="0" borderId="21" xfId="3" applyNumberFormat="1" applyFont="1" applyBorder="1" applyAlignment="1" applyProtection="1">
      <alignment horizontal="center" vertical="center"/>
    </xf>
    <xf numFmtId="0" fontId="15" fillId="2" borderId="16" xfId="0" applyFont="1" applyFill="1" applyBorder="1" applyAlignment="1">
      <alignment horizontal="center"/>
    </xf>
    <xf numFmtId="0" fontId="15" fillId="2" borderId="17" xfId="0" applyFont="1" applyFill="1" applyBorder="1" applyAlignment="1">
      <alignment horizontal="center"/>
    </xf>
    <xf numFmtId="0" fontId="15" fillId="2" borderId="18" xfId="0" applyFont="1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165" fontId="0" fillId="3" borderId="11" xfId="1" applyNumberFormat="1" applyFont="1" applyFill="1" applyBorder="1" applyAlignment="1" applyProtection="1">
      <alignment horizontal="center"/>
      <protection locked="0"/>
    </xf>
    <xf numFmtId="165" fontId="0" fillId="3" borderId="13" xfId="1" applyNumberFormat="1" applyFont="1" applyFill="1" applyBorder="1" applyAlignment="1" applyProtection="1">
      <alignment horizontal="center"/>
      <protection locked="0"/>
    </xf>
    <xf numFmtId="0" fontId="12" fillId="7" borderId="6" xfId="0" applyFont="1" applyFill="1" applyBorder="1" applyAlignment="1">
      <alignment horizontal="center" vertical="center" wrapText="1"/>
    </xf>
    <xf numFmtId="0" fontId="12" fillId="7" borderId="7" xfId="0" applyFont="1" applyFill="1" applyBorder="1" applyAlignment="1">
      <alignment horizontal="center" vertical="center" wrapText="1"/>
    </xf>
    <xf numFmtId="9" fontId="0" fillId="3" borderId="12" xfId="2" applyFont="1" applyFill="1" applyBorder="1" applyAlignment="1" applyProtection="1">
      <alignment horizontal="center"/>
    </xf>
    <xf numFmtId="0" fontId="4" fillId="7" borderId="1" xfId="0" applyFont="1" applyFill="1" applyBorder="1" applyAlignment="1">
      <alignment horizontal="center" vertical="center" wrapText="1"/>
    </xf>
    <xf numFmtId="165" fontId="4" fillId="7" borderId="1" xfId="1" applyNumberFormat="1" applyFont="1" applyFill="1" applyBorder="1" applyAlignment="1" applyProtection="1">
      <alignment horizontal="center" vertical="center" wrapText="1"/>
    </xf>
    <xf numFmtId="0" fontId="4" fillId="9" borderId="2" xfId="0" applyFont="1" applyFill="1" applyBorder="1" applyAlignment="1">
      <alignment horizontal="center" vertical="center" wrapText="1"/>
    </xf>
    <xf numFmtId="0" fontId="4" fillId="9" borderId="3" xfId="0" applyFont="1" applyFill="1" applyBorder="1" applyAlignment="1">
      <alignment horizontal="center" vertical="center" wrapText="1"/>
    </xf>
    <xf numFmtId="0" fontId="15" fillId="2" borderId="16" xfId="0" applyFont="1" applyFill="1" applyBorder="1" applyAlignment="1">
      <alignment horizontal="center" vertical="center"/>
    </xf>
    <xf numFmtId="0" fontId="15" fillId="2" borderId="17" xfId="0" applyFont="1" applyFill="1" applyBorder="1" applyAlignment="1">
      <alignment horizontal="center" vertical="center"/>
    </xf>
    <xf numFmtId="0" fontId="15" fillId="2" borderId="18" xfId="0" applyFont="1" applyFill="1" applyBorder="1" applyAlignment="1">
      <alignment horizontal="center" vertical="center"/>
    </xf>
    <xf numFmtId="0" fontId="15" fillId="2" borderId="19" xfId="0" applyFont="1" applyFill="1" applyBorder="1" applyAlignment="1">
      <alignment horizontal="center" vertical="center"/>
    </xf>
    <xf numFmtId="0" fontId="15" fillId="2" borderId="20" xfId="0" applyFont="1" applyFill="1" applyBorder="1" applyAlignment="1">
      <alignment horizontal="center" vertical="center"/>
    </xf>
    <xf numFmtId="0" fontId="15" fillId="2" borderId="21" xfId="0" applyFont="1" applyFill="1" applyBorder="1" applyAlignment="1">
      <alignment horizontal="center" vertical="center"/>
    </xf>
    <xf numFmtId="165" fontId="20" fillId="0" borderId="2" xfId="0" applyNumberFormat="1" applyFont="1" applyBorder="1" applyAlignment="1">
      <alignment horizontal="center"/>
    </xf>
    <xf numFmtId="165" fontId="20" fillId="0" borderId="4" xfId="0" applyNumberFormat="1" applyFont="1" applyBorder="1" applyAlignment="1">
      <alignment horizontal="center"/>
    </xf>
    <xf numFmtId="165" fontId="20" fillId="0" borderId="3" xfId="0" applyNumberFormat="1" applyFont="1" applyBorder="1" applyAlignment="1">
      <alignment horizontal="center"/>
    </xf>
    <xf numFmtId="0" fontId="15" fillId="2" borderId="19" xfId="0" applyFont="1" applyFill="1" applyBorder="1" applyAlignment="1">
      <alignment horizontal="center"/>
    </xf>
    <xf numFmtId="0" fontId="15" fillId="2" borderId="20" xfId="0" applyFont="1" applyFill="1" applyBorder="1" applyAlignment="1">
      <alignment horizontal="center"/>
    </xf>
    <xf numFmtId="0" fontId="15" fillId="2" borderId="21" xfId="0" applyFont="1" applyFill="1" applyBorder="1" applyAlignment="1">
      <alignment horizontal="center"/>
    </xf>
    <xf numFmtId="0" fontId="0" fillId="16" borderId="18" xfId="0" applyFill="1" applyBorder="1" applyAlignment="1">
      <alignment horizontal="center" vertical="center" wrapText="1"/>
    </xf>
    <xf numFmtId="0" fontId="0" fillId="16" borderId="23" xfId="0" applyFill="1" applyBorder="1" applyAlignment="1">
      <alignment horizontal="center" vertical="center" wrapText="1"/>
    </xf>
    <xf numFmtId="0" fontId="0" fillId="18" borderId="4" xfId="0" applyFill="1" applyBorder="1" applyAlignment="1">
      <alignment horizontal="center" vertical="center" wrapText="1"/>
    </xf>
    <xf numFmtId="165" fontId="0" fillId="3" borderId="0" xfId="1" applyNumberFormat="1" applyFont="1" applyFill="1" applyAlignment="1" applyProtection="1">
      <alignment horizontal="center"/>
    </xf>
    <xf numFmtId="0" fontId="11" fillId="15" borderId="14" xfId="0" applyFont="1" applyFill="1" applyBorder="1" applyAlignment="1" applyProtection="1">
      <alignment horizontal="left"/>
      <protection locked="0"/>
    </xf>
    <xf numFmtId="0" fontId="11" fillId="15" borderId="15" xfId="0" applyFont="1" applyFill="1" applyBorder="1" applyAlignment="1" applyProtection="1">
      <alignment horizontal="left"/>
      <protection locked="0"/>
    </xf>
    <xf numFmtId="165" fontId="0" fillId="3" borderId="8" xfId="1" applyNumberFormat="1" applyFont="1" applyFill="1" applyBorder="1" applyAlignment="1" applyProtection="1">
      <alignment horizontal="center"/>
      <protection locked="0"/>
    </xf>
    <xf numFmtId="165" fontId="0" fillId="3" borderId="10" xfId="1" applyNumberFormat="1" applyFont="1" applyFill="1" applyBorder="1" applyAlignment="1" applyProtection="1">
      <alignment horizontal="center"/>
      <protection locked="0"/>
    </xf>
    <xf numFmtId="2" fontId="0" fillId="3" borderId="14" xfId="0" applyNumberFormat="1" applyFill="1" applyBorder="1" applyAlignment="1" applyProtection="1">
      <alignment horizontal="center"/>
      <protection locked="0"/>
    </xf>
    <xf numFmtId="2" fontId="0" fillId="3" borderId="22" xfId="0" applyNumberFormat="1" applyFill="1" applyBorder="1" applyAlignment="1" applyProtection="1">
      <alignment horizontal="center"/>
      <protection locked="0"/>
    </xf>
    <xf numFmtId="0" fontId="4" fillId="8" borderId="1" xfId="0" applyFont="1" applyFill="1" applyBorder="1" applyAlignment="1">
      <alignment horizontal="center" vertical="center" wrapText="1"/>
    </xf>
  </cellXfs>
  <cellStyles count="4">
    <cellStyle name="Millares" xfId="3" builtinId="3"/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sv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110067</xdr:colOff>
      <xdr:row>39</xdr:row>
      <xdr:rowOff>189249</xdr:rowOff>
    </xdr:from>
    <xdr:to>
      <xdr:col>8</xdr:col>
      <xdr:colOff>361462</xdr:colOff>
      <xdr:row>52</xdr:row>
      <xdr:rowOff>125566</xdr:rowOff>
    </xdr:to>
    <xdr:pic>
      <xdr:nvPicPr>
        <xdr:cNvPr id="6" name="Imagen 1">
          <a:extLst>
            <a:ext uri="{FF2B5EF4-FFF2-40B4-BE49-F238E27FC236}">
              <a16:creationId xmlns:a16="http://schemas.microsoft.com/office/drawing/2014/main" id="{AE99C70F-2F6A-7D41-A3F0-095E375258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067" y="9694711"/>
          <a:ext cx="5253241" cy="2720547"/>
        </a:xfrm>
        <a:prstGeom prst="rect">
          <a:avLst/>
        </a:prstGeom>
      </xdr:spPr>
    </xdr:pic>
    <xdr:clientData/>
  </xdr:twoCellAnchor>
  <xdr:twoCellAnchor editAs="oneCell">
    <xdr:from>
      <xdr:col>15</xdr:col>
      <xdr:colOff>1294</xdr:colOff>
      <xdr:row>0</xdr:row>
      <xdr:rowOff>89549</xdr:rowOff>
    </xdr:from>
    <xdr:to>
      <xdr:col>18</xdr:col>
      <xdr:colOff>166076</xdr:colOff>
      <xdr:row>6</xdr:row>
      <xdr:rowOff>76200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A1F9F80-B9B3-AD49-8A62-824F9870A4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825602" y="89549"/>
          <a:ext cx="3417936" cy="1295728"/>
        </a:xfrm>
        <a:prstGeom prst="rect">
          <a:avLst/>
        </a:prstGeom>
      </xdr:spPr>
    </xdr:pic>
    <xdr:clientData/>
  </xdr:twoCellAnchor>
  <xdr:twoCellAnchor editAs="absolute">
    <xdr:from>
      <xdr:col>16</xdr:col>
      <xdr:colOff>595924</xdr:colOff>
      <xdr:row>50</xdr:row>
      <xdr:rowOff>64476</xdr:rowOff>
    </xdr:from>
    <xdr:to>
      <xdr:col>16</xdr:col>
      <xdr:colOff>1062268</xdr:colOff>
      <xdr:row>52</xdr:row>
      <xdr:rowOff>120513</xdr:rowOff>
    </xdr:to>
    <xdr:pic>
      <xdr:nvPicPr>
        <xdr:cNvPr id="3" name="Gráfico 2" descr="Smartphone contorno">
          <a:extLst>
            <a:ext uri="{FF2B5EF4-FFF2-40B4-BE49-F238E27FC236}">
              <a16:creationId xmlns:a16="http://schemas.microsoft.com/office/drawing/2014/main" id="{77FAB582-5B8A-4516-944C-A01CCD1A1B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2719539" y="11943861"/>
          <a:ext cx="466344" cy="4663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625F2-383A-CA40-BDD7-7EE333109BE7}">
  <sheetPr>
    <pageSetUpPr fitToPage="1"/>
  </sheetPr>
  <dimension ref="A1:AA59"/>
  <sheetViews>
    <sheetView tabSelected="1" zoomScale="140" zoomScaleNormal="140" workbookViewId="0">
      <selection activeCell="G37" sqref="G37"/>
    </sheetView>
  </sheetViews>
  <sheetFormatPr defaultColWidth="11" defaultRowHeight="15.95"/>
  <cols>
    <col min="1" max="1" width="1.5" customWidth="1"/>
    <col min="2" max="3" width="6" style="5" customWidth="1"/>
    <col min="4" max="4" width="10.875" customWidth="1"/>
    <col min="5" max="6" width="7.625" customWidth="1"/>
    <col min="7" max="7" width="12.875" customWidth="1"/>
    <col min="8" max="9" width="13" customWidth="1"/>
    <col min="10" max="10" width="11.5" customWidth="1"/>
    <col min="11" max="11" width="13" customWidth="1"/>
    <col min="12" max="12" width="3.5" customWidth="1"/>
    <col min="13" max="13" width="13" customWidth="1"/>
    <col min="14" max="14" width="14.375" customWidth="1"/>
    <col min="15" max="15" width="11" customWidth="1"/>
    <col min="16" max="18" width="14.125" customWidth="1"/>
    <col min="19" max="19" width="3.375" customWidth="1"/>
    <col min="24" max="26" width="14.125" hidden="1" customWidth="1"/>
    <col min="28" max="28" width="14" bestFit="1" customWidth="1"/>
  </cols>
  <sheetData>
    <row r="1" spans="1:27">
      <c r="A1" s="8"/>
      <c r="B1" s="9"/>
      <c r="C1" s="9"/>
      <c r="D1" s="8"/>
      <c r="E1" s="8"/>
      <c r="F1" s="8"/>
      <c r="G1" s="8"/>
      <c r="H1" s="8"/>
      <c r="I1" s="8"/>
      <c r="J1" s="8"/>
      <c r="K1" s="8"/>
      <c r="L1" s="8"/>
      <c r="M1" s="8"/>
      <c r="N1" s="10"/>
      <c r="O1" s="10"/>
      <c r="P1" s="10"/>
      <c r="Q1" s="10"/>
      <c r="R1" s="10"/>
      <c r="S1" s="10"/>
      <c r="T1" s="11"/>
      <c r="U1" s="11"/>
      <c r="V1" s="11"/>
      <c r="W1" s="10"/>
      <c r="X1" s="27"/>
      <c r="Y1" s="10"/>
      <c r="Z1" s="18"/>
      <c r="AA1" s="10"/>
    </row>
    <row r="2" spans="1:27" ht="21.95">
      <c r="A2" s="8"/>
      <c r="B2" s="12" t="s">
        <v>0</v>
      </c>
      <c r="C2" s="12"/>
      <c r="D2" s="8"/>
      <c r="E2" s="8"/>
      <c r="F2" s="8"/>
      <c r="G2" s="8"/>
      <c r="H2" s="8"/>
      <c r="I2" s="8"/>
      <c r="J2" s="8"/>
      <c r="K2" s="8"/>
      <c r="L2" s="8"/>
      <c r="M2" s="8"/>
      <c r="N2" s="10"/>
      <c r="O2" s="10"/>
      <c r="P2" s="10"/>
      <c r="Q2" s="10"/>
      <c r="R2" s="10"/>
      <c r="S2" s="10"/>
      <c r="T2" s="11"/>
      <c r="U2" s="11"/>
      <c r="V2" s="11"/>
      <c r="W2" s="10"/>
      <c r="X2" s="27"/>
      <c r="Y2" s="10"/>
      <c r="Z2" s="18"/>
      <c r="AA2" s="10"/>
    </row>
    <row r="3" spans="1:27">
      <c r="A3" s="8"/>
      <c r="B3" s="13" t="s">
        <v>1</v>
      </c>
      <c r="C3" s="13"/>
      <c r="D3" s="8"/>
      <c r="E3" s="8"/>
      <c r="F3" s="8"/>
      <c r="G3" s="8"/>
      <c r="H3" s="8"/>
      <c r="I3" s="8"/>
      <c r="J3" s="8"/>
      <c r="K3" s="8"/>
      <c r="L3" s="8"/>
      <c r="M3" s="8"/>
      <c r="N3" s="10"/>
      <c r="O3" s="10"/>
      <c r="P3" s="10"/>
      <c r="Q3" s="10"/>
      <c r="R3" s="10"/>
      <c r="S3" s="10"/>
      <c r="T3" s="11"/>
      <c r="U3" s="11"/>
      <c r="V3" s="11"/>
      <c r="W3" s="10"/>
      <c r="X3" s="46" t="s">
        <v>2</v>
      </c>
      <c r="Y3" s="10"/>
      <c r="Z3" s="18"/>
      <c r="AA3" s="10"/>
    </row>
    <row r="4" spans="1:27">
      <c r="A4" s="8"/>
      <c r="B4" s="135" t="s">
        <v>3</v>
      </c>
      <c r="C4" s="136"/>
      <c r="D4" s="136"/>
      <c r="E4" s="136"/>
      <c r="F4" s="136"/>
      <c r="G4" s="7">
        <v>50</v>
      </c>
      <c r="H4" s="8"/>
      <c r="I4" s="8"/>
      <c r="J4" s="8"/>
      <c r="K4" s="8"/>
      <c r="L4" s="8"/>
      <c r="M4" s="8"/>
      <c r="N4" s="10"/>
      <c r="O4" s="10"/>
      <c r="P4" s="10"/>
      <c r="Q4" s="10"/>
      <c r="R4" s="10"/>
      <c r="S4" s="10"/>
      <c r="T4" s="11"/>
      <c r="U4" s="11"/>
      <c r="V4" s="11"/>
      <c r="W4" s="10"/>
      <c r="X4" s="46" t="s">
        <v>4</v>
      </c>
      <c r="Y4" s="10"/>
      <c r="Z4" s="18"/>
      <c r="AA4" s="10"/>
    </row>
    <row r="5" spans="1:27">
      <c r="A5" s="8"/>
      <c r="B5" s="9"/>
      <c r="C5" s="9"/>
      <c r="D5" s="8"/>
      <c r="E5" s="14"/>
      <c r="F5" s="14"/>
      <c r="G5" s="8"/>
      <c r="H5" s="8"/>
      <c r="I5" s="8"/>
      <c r="J5" s="8"/>
      <c r="K5" s="8"/>
      <c r="L5" s="8"/>
      <c r="M5" s="8"/>
      <c r="N5" s="10"/>
      <c r="O5" s="10"/>
      <c r="P5" s="10"/>
      <c r="Q5" s="10"/>
      <c r="R5" s="10"/>
      <c r="S5" s="10"/>
      <c r="T5" s="11"/>
      <c r="U5" s="11"/>
      <c r="V5" s="11"/>
      <c r="W5" s="10"/>
      <c r="X5" s="27"/>
      <c r="Y5" s="10"/>
      <c r="Z5" s="18"/>
      <c r="AA5" s="10"/>
    </row>
    <row r="6" spans="1:27">
      <c r="A6" s="8"/>
      <c r="B6" s="109" t="s">
        <v>5</v>
      </c>
      <c r="C6" s="109"/>
      <c r="D6" s="109"/>
      <c r="E6" s="137">
        <v>200000</v>
      </c>
      <c r="F6" s="138"/>
      <c r="G6" s="8"/>
      <c r="H6" s="15" t="s">
        <v>6</v>
      </c>
      <c r="I6" s="36">
        <v>0.04</v>
      </c>
      <c r="J6" s="8"/>
      <c r="K6" s="8"/>
      <c r="L6" s="8"/>
      <c r="M6" s="8"/>
      <c r="N6" s="10"/>
      <c r="O6" s="10"/>
      <c r="P6" s="10"/>
      <c r="Q6" s="10"/>
      <c r="R6" s="10"/>
      <c r="S6" s="10"/>
      <c r="T6" s="11"/>
      <c r="U6" s="11"/>
      <c r="V6" s="11"/>
      <c r="W6" s="10"/>
      <c r="X6" s="47" t="s">
        <v>7</v>
      </c>
      <c r="Y6" s="42"/>
      <c r="Z6" s="18"/>
      <c r="AA6" s="10"/>
    </row>
    <row r="7" spans="1:27">
      <c r="A7" s="8"/>
      <c r="B7" s="109" t="s">
        <v>8</v>
      </c>
      <c r="C7" s="109"/>
      <c r="D7" s="109"/>
      <c r="E7" s="139">
        <v>8.4506999999999994</v>
      </c>
      <c r="F7" s="140"/>
      <c r="G7" s="8"/>
      <c r="H7" s="16" t="s">
        <v>9</v>
      </c>
      <c r="I7" s="37">
        <v>0.35</v>
      </c>
      <c r="J7" s="8"/>
      <c r="K7" s="8"/>
      <c r="L7" s="8"/>
      <c r="M7" s="8"/>
      <c r="N7" s="10"/>
      <c r="O7" s="10"/>
      <c r="P7" s="10"/>
      <c r="Q7" s="10"/>
      <c r="R7" s="10"/>
      <c r="S7" s="10"/>
      <c r="T7" s="11"/>
      <c r="U7" s="11"/>
      <c r="V7" s="11"/>
      <c r="W7" s="10"/>
      <c r="X7" s="48" t="s">
        <v>10</v>
      </c>
      <c r="Y7" s="42"/>
      <c r="Z7" s="18"/>
      <c r="AA7" s="10"/>
    </row>
    <row r="8" spans="1:27">
      <c r="A8" s="8"/>
      <c r="B8" s="109" t="s">
        <v>11</v>
      </c>
      <c r="C8" s="109"/>
      <c r="D8" s="109"/>
      <c r="E8" s="134">
        <f>E6/E7</f>
        <v>23666.678500005917</v>
      </c>
      <c r="F8" s="134"/>
      <c r="G8" s="8"/>
      <c r="H8" s="8"/>
      <c r="I8" s="8"/>
      <c r="J8" s="8"/>
      <c r="K8" s="8"/>
      <c r="L8" s="8"/>
      <c r="M8" s="8"/>
      <c r="N8" s="10"/>
      <c r="O8" s="10"/>
      <c r="P8" s="10"/>
      <c r="Q8" s="10"/>
      <c r="R8" s="10"/>
      <c r="S8" s="10"/>
      <c r="T8" s="11"/>
      <c r="U8" s="11"/>
      <c r="V8" s="11"/>
      <c r="W8" s="10"/>
      <c r="X8" s="27"/>
      <c r="Y8" s="10"/>
      <c r="Z8" s="18"/>
      <c r="AA8" s="10"/>
    </row>
    <row r="9" spans="1:27">
      <c r="A9" s="8"/>
      <c r="B9" s="109" t="s">
        <v>12</v>
      </c>
      <c r="C9" s="109"/>
      <c r="D9" s="109"/>
      <c r="E9" s="110">
        <v>20217</v>
      </c>
      <c r="F9" s="111"/>
      <c r="G9" s="8"/>
      <c r="H9" s="8"/>
      <c r="I9" s="8"/>
      <c r="J9" s="8"/>
      <c r="K9" s="8"/>
      <c r="L9" s="8"/>
      <c r="M9" s="8"/>
      <c r="N9" s="10"/>
      <c r="O9" s="10"/>
      <c r="P9" s="10"/>
      <c r="Q9" s="10"/>
      <c r="R9" s="10"/>
      <c r="S9" s="10"/>
      <c r="T9" s="11"/>
      <c r="U9" s="11"/>
      <c r="V9" s="11"/>
      <c r="W9" s="10"/>
      <c r="X9" s="131" t="s">
        <v>13</v>
      </c>
      <c r="Y9" s="10"/>
      <c r="Z9" s="18"/>
      <c r="AA9" s="10"/>
    </row>
    <row r="10" spans="1:27">
      <c r="A10" s="8"/>
      <c r="B10" s="109" t="s">
        <v>14</v>
      </c>
      <c r="C10" s="109"/>
      <c r="D10" s="109"/>
      <c r="E10" s="114">
        <f>E9/E8</f>
        <v>0.85423900949999998</v>
      </c>
      <c r="F10" s="114"/>
      <c r="G10" s="8"/>
      <c r="H10" s="17" t="s">
        <v>15</v>
      </c>
      <c r="I10" s="38">
        <v>10</v>
      </c>
      <c r="J10" s="8"/>
      <c r="K10" s="8"/>
      <c r="L10" s="8"/>
      <c r="M10" s="8"/>
      <c r="N10" s="10"/>
      <c r="O10" s="10"/>
      <c r="P10" s="10"/>
      <c r="Q10" s="10"/>
      <c r="R10" s="10"/>
      <c r="S10" s="10"/>
      <c r="T10" s="11"/>
      <c r="U10" s="11"/>
      <c r="V10" s="11"/>
      <c r="W10" s="10"/>
      <c r="X10" s="132"/>
      <c r="Y10" s="10"/>
      <c r="Z10" s="18"/>
      <c r="AA10" s="10"/>
    </row>
    <row r="11" spans="1:27">
      <c r="A11" s="8"/>
      <c r="B11" s="9"/>
      <c r="C11" s="9"/>
      <c r="D11" s="1"/>
      <c r="E11" s="1"/>
      <c r="F11" s="1"/>
      <c r="G11" s="8"/>
      <c r="H11" s="8"/>
      <c r="I11" s="8"/>
      <c r="J11" s="8"/>
      <c r="K11" s="8"/>
      <c r="L11" s="8"/>
      <c r="M11" s="8"/>
      <c r="N11" s="10"/>
      <c r="O11" s="10"/>
      <c r="P11" s="10"/>
      <c r="Q11" s="10"/>
      <c r="R11" s="10"/>
      <c r="S11" s="10"/>
      <c r="T11" s="11"/>
      <c r="U11" s="11"/>
      <c r="V11" s="11"/>
      <c r="W11" s="10"/>
      <c r="X11" s="49">
        <v>7.9000000000000001E-2</v>
      </c>
      <c r="Y11" s="27"/>
      <c r="Z11" s="18"/>
      <c r="AA11" s="10"/>
    </row>
    <row r="12" spans="1:27" ht="24" customHeight="1">
      <c r="A12" s="8"/>
      <c r="B12" s="9"/>
      <c r="C12" s="9"/>
      <c r="D12" s="1"/>
      <c r="E12" s="1"/>
      <c r="F12" s="1"/>
      <c r="G12" s="8"/>
      <c r="H12" s="8"/>
      <c r="I12" s="8"/>
      <c r="J12" s="8"/>
      <c r="K12" s="8"/>
      <c r="L12" s="8"/>
      <c r="M12" s="8"/>
      <c r="N12" s="10"/>
      <c r="O12" s="10"/>
      <c r="P12" s="106" t="s">
        <v>16</v>
      </c>
      <c r="Q12" s="107"/>
      <c r="R12" s="108"/>
      <c r="S12" s="10"/>
      <c r="T12" s="11"/>
      <c r="U12" s="11"/>
      <c r="V12" s="11"/>
      <c r="W12" s="10"/>
      <c r="X12" s="50"/>
      <c r="Y12" s="10"/>
      <c r="Z12" s="18"/>
      <c r="AA12" s="10"/>
    </row>
    <row r="13" spans="1:27" ht="21.95" customHeight="1">
      <c r="A13" s="8"/>
      <c r="B13" s="115" t="s">
        <v>17</v>
      </c>
      <c r="C13" s="112" t="s">
        <v>18</v>
      </c>
      <c r="D13" s="116" t="s">
        <v>19</v>
      </c>
      <c r="E13" s="116" t="s">
        <v>20</v>
      </c>
      <c r="F13" s="116"/>
      <c r="G13" s="115" t="s">
        <v>21</v>
      </c>
      <c r="H13" s="141" t="s">
        <v>22</v>
      </c>
      <c r="I13" s="141" t="s">
        <v>23</v>
      </c>
      <c r="J13" s="141" t="s">
        <v>24</v>
      </c>
      <c r="K13" s="141" t="s">
        <v>25</v>
      </c>
      <c r="L13" s="8"/>
      <c r="M13" s="117" t="s">
        <v>26</v>
      </c>
      <c r="N13" s="118"/>
      <c r="O13" s="10"/>
      <c r="P13" s="128"/>
      <c r="Q13" s="129"/>
      <c r="R13" s="130"/>
      <c r="S13" s="10"/>
      <c r="T13" s="11"/>
      <c r="U13" s="11"/>
      <c r="V13" s="19"/>
      <c r="W13" s="10"/>
      <c r="X13" s="133" t="s">
        <v>27</v>
      </c>
      <c r="Y13" s="133"/>
      <c r="Z13" s="133"/>
      <c r="AA13" s="10"/>
    </row>
    <row r="14" spans="1:27" ht="21.95" customHeight="1">
      <c r="A14" s="8"/>
      <c r="B14" s="115"/>
      <c r="C14" s="113"/>
      <c r="D14" s="116"/>
      <c r="E14" s="2" t="s">
        <v>28</v>
      </c>
      <c r="F14" s="2" t="s">
        <v>29</v>
      </c>
      <c r="G14" s="115"/>
      <c r="H14" s="141"/>
      <c r="I14" s="141"/>
      <c r="J14" s="141"/>
      <c r="K14" s="141"/>
      <c r="L14" s="8"/>
      <c r="M14" s="20" t="s">
        <v>30</v>
      </c>
      <c r="N14" s="67" t="s">
        <v>31</v>
      </c>
      <c r="O14" s="10"/>
      <c r="P14" s="85">
        <f>K35</f>
        <v>1683295.4706250266</v>
      </c>
      <c r="Q14" s="86"/>
      <c r="R14" s="87"/>
      <c r="S14" s="10"/>
      <c r="T14" s="11"/>
      <c r="U14" s="11"/>
      <c r="V14" s="11"/>
      <c r="W14" s="10"/>
      <c r="X14" s="51" t="s">
        <v>32</v>
      </c>
      <c r="Y14" s="43"/>
      <c r="Z14" s="56" t="s">
        <v>33</v>
      </c>
      <c r="AA14" s="10"/>
    </row>
    <row r="15" spans="1:27" ht="20.100000000000001" customHeight="1">
      <c r="A15" s="8"/>
      <c r="B15" s="9">
        <v>1</v>
      </c>
      <c r="C15" s="9">
        <f t="shared" ref="C15:C33" si="0">IF(B15="","",B15+G$4-1)</f>
        <v>50</v>
      </c>
      <c r="D15" s="1">
        <f>E8</f>
        <v>23666.678500005917</v>
      </c>
      <c r="E15" s="21">
        <f>E7</f>
        <v>8.4506999999999994</v>
      </c>
      <c r="F15" s="21">
        <f>E$7*(1+I$6)^B15</f>
        <v>8.788727999999999</v>
      </c>
      <c r="G15" s="1">
        <f>D15*E15</f>
        <v>200000</v>
      </c>
      <c r="H15" s="22">
        <f>D15*E$10</f>
        <v>20217</v>
      </c>
      <c r="I15" s="22">
        <f>H15*E15</f>
        <v>170847.80189999999</v>
      </c>
      <c r="J15" s="22">
        <f>I15*I$7</f>
        <v>59796.730664999995</v>
      </c>
      <c r="K15" s="22">
        <f>G15-J15</f>
        <v>140203.26933500002</v>
      </c>
      <c r="L15" s="8"/>
      <c r="M15" s="22">
        <f>G37</f>
        <v>0</v>
      </c>
      <c r="N15" s="22">
        <f t="shared" ref="N15" si="1">M15*E15</f>
        <v>0</v>
      </c>
      <c r="O15" s="10"/>
      <c r="P15" s="88"/>
      <c r="Q15" s="89"/>
      <c r="R15" s="90"/>
      <c r="S15" s="10"/>
      <c r="T15" s="11"/>
      <c r="U15" s="11"/>
      <c r="V15" s="11"/>
      <c r="W15" s="10"/>
      <c r="X15" s="52">
        <f>K15</f>
        <v>140203.26933500002</v>
      </c>
      <c r="Y15" s="44">
        <f>X15</f>
        <v>140203.26933500002</v>
      </c>
      <c r="Z15" s="57">
        <f t="shared" ref="Z15:Z19" si="2">Y15+(Y15*X$11)</f>
        <v>151279.32761246501</v>
      </c>
      <c r="AA15" s="10"/>
    </row>
    <row r="16" spans="1:27" ht="20.100000000000001" customHeight="1">
      <c r="A16" s="8"/>
      <c r="B16" s="23">
        <v>2</v>
      </c>
      <c r="C16" s="23">
        <f t="shared" si="0"/>
        <v>51</v>
      </c>
      <c r="D16" s="3">
        <f t="shared" ref="D16:D33" si="3">IF(B16="","",IF(B16&gt;I$10,0,D$15))</f>
        <v>23666.678500005917</v>
      </c>
      <c r="E16" s="24">
        <f t="shared" ref="E16:E29" si="4">IF(B16="","",E$7*(1+I$6)^B15)</f>
        <v>8.788727999999999</v>
      </c>
      <c r="F16" s="24">
        <f t="shared" ref="F16:F28" si="5">IF(B16="","",E$7*(1+I$6)^B16)</f>
        <v>9.1402771200000004</v>
      </c>
      <c r="G16" s="3">
        <f t="shared" ref="G16:G21" si="6">IF(C16="","",D16*E16)</f>
        <v>207999.99999999997</v>
      </c>
      <c r="H16" s="25">
        <f t="shared" ref="H16:H21" si="7">IF(B16="","",D16*E$10)</f>
        <v>20217</v>
      </c>
      <c r="I16" s="25">
        <f t="shared" ref="I16:I21" si="8">IF(B16="","",H16*E16)</f>
        <v>177681.71397599997</v>
      </c>
      <c r="J16" s="25">
        <f t="shared" ref="J16:J21" si="9">IF(B16="","",I16*I$7)</f>
        <v>62188.599891599988</v>
      </c>
      <c r="K16" s="25">
        <f t="shared" ref="K16:K21" si="10">IF(B16="","",G16-J16)</f>
        <v>145811.40010839998</v>
      </c>
      <c r="L16" s="8"/>
      <c r="M16" s="26">
        <f t="shared" ref="M16:M24" si="11">IF(B16="","",M$15)</f>
        <v>0</v>
      </c>
      <c r="N16" s="26">
        <f t="shared" ref="N16:N23" si="12">IF(B16="","",M16*E16)</f>
        <v>0</v>
      </c>
      <c r="O16" s="10"/>
      <c r="P16" s="10"/>
      <c r="Q16" s="10"/>
      <c r="R16" s="10"/>
      <c r="S16" s="10"/>
      <c r="T16" s="11"/>
      <c r="U16" s="11"/>
      <c r="V16" s="11"/>
      <c r="W16" s="10"/>
      <c r="X16" s="52">
        <f>K16</f>
        <v>145811.40010839998</v>
      </c>
      <c r="Y16" s="44">
        <f>X16+Z15</f>
        <v>297090.72772086499</v>
      </c>
      <c r="Z16" s="57">
        <f t="shared" si="2"/>
        <v>320560.89521081332</v>
      </c>
      <c r="AA16" s="10"/>
    </row>
    <row r="17" spans="1:27" ht="20.100000000000001" customHeight="1">
      <c r="A17" s="8"/>
      <c r="B17" s="9">
        <v>3</v>
      </c>
      <c r="C17" s="9">
        <f t="shared" si="0"/>
        <v>52</v>
      </c>
      <c r="D17" s="1">
        <f t="shared" si="3"/>
        <v>23666.678500005917</v>
      </c>
      <c r="E17" s="21">
        <f t="shared" si="4"/>
        <v>9.1402771200000004</v>
      </c>
      <c r="F17" s="21">
        <f t="shared" si="5"/>
        <v>9.5058882047999997</v>
      </c>
      <c r="G17" s="1">
        <f t="shared" si="6"/>
        <v>216320</v>
      </c>
      <c r="H17" s="22">
        <f t="shared" si="7"/>
        <v>20217</v>
      </c>
      <c r="I17" s="22">
        <f t="shared" si="8"/>
        <v>184788.98253504001</v>
      </c>
      <c r="J17" s="22">
        <f t="shared" si="9"/>
        <v>64676.143887263999</v>
      </c>
      <c r="K17" s="22">
        <f t="shared" si="10"/>
        <v>151643.85611273599</v>
      </c>
      <c r="L17" s="8"/>
      <c r="M17" s="22">
        <f t="shared" si="11"/>
        <v>0</v>
      </c>
      <c r="N17" s="22">
        <f t="shared" si="12"/>
        <v>0</v>
      </c>
      <c r="O17" s="10"/>
      <c r="P17" s="82" t="s">
        <v>34</v>
      </c>
      <c r="Q17" s="83"/>
      <c r="R17" s="84"/>
      <c r="S17" s="10"/>
      <c r="T17" s="11"/>
      <c r="U17" s="11"/>
      <c r="V17" s="11"/>
      <c r="W17" s="10"/>
      <c r="X17" s="52">
        <f t="shared" ref="X17:X19" si="13">K17</f>
        <v>151643.85611273599</v>
      </c>
      <c r="Y17" s="44">
        <f>X17+Z16</f>
        <v>472204.75132354931</v>
      </c>
      <c r="Z17" s="57">
        <f t="shared" si="2"/>
        <v>509508.92667810968</v>
      </c>
      <c r="AA17" s="10"/>
    </row>
    <row r="18" spans="1:27" ht="20.100000000000001" customHeight="1">
      <c r="A18" s="8"/>
      <c r="B18" s="23">
        <v>4</v>
      </c>
      <c r="C18" s="23">
        <f t="shared" si="0"/>
        <v>53</v>
      </c>
      <c r="D18" s="3">
        <f t="shared" si="3"/>
        <v>23666.678500005917</v>
      </c>
      <c r="E18" s="24">
        <f t="shared" si="4"/>
        <v>9.5058882047999997</v>
      </c>
      <c r="F18" s="24">
        <f t="shared" si="5"/>
        <v>9.8861237329920009</v>
      </c>
      <c r="G18" s="3">
        <f t="shared" si="6"/>
        <v>224972.79999999999</v>
      </c>
      <c r="H18" s="25">
        <f t="shared" si="7"/>
        <v>20217</v>
      </c>
      <c r="I18" s="25">
        <f t="shared" si="8"/>
        <v>192180.54183644158</v>
      </c>
      <c r="J18" s="25">
        <f t="shared" si="9"/>
        <v>67263.189642754543</v>
      </c>
      <c r="K18" s="25">
        <f t="shared" si="10"/>
        <v>157709.61035724543</v>
      </c>
      <c r="L18" s="8"/>
      <c r="M18" s="26">
        <f t="shared" si="11"/>
        <v>0</v>
      </c>
      <c r="N18" s="26">
        <f t="shared" si="12"/>
        <v>0</v>
      </c>
      <c r="O18" s="10"/>
      <c r="P18" s="85">
        <f>G38</f>
        <v>0</v>
      </c>
      <c r="Q18" s="86"/>
      <c r="R18" s="87"/>
      <c r="S18" s="10"/>
      <c r="T18" s="11"/>
      <c r="U18" s="11"/>
      <c r="V18" s="11"/>
      <c r="W18" s="10"/>
      <c r="X18" s="52">
        <f t="shared" si="13"/>
        <v>157709.61035724543</v>
      </c>
      <c r="Y18" s="44">
        <f t="shared" ref="Y18:Y19" si="14">X18+Z17</f>
        <v>667218.53703535511</v>
      </c>
      <c r="Z18" s="57">
        <f t="shared" si="2"/>
        <v>719928.80146114819</v>
      </c>
      <c r="AA18" s="10"/>
    </row>
    <row r="19" spans="1:27" ht="20.100000000000001" customHeight="1">
      <c r="A19" s="8"/>
      <c r="B19" s="9">
        <v>5</v>
      </c>
      <c r="C19" s="9">
        <f t="shared" si="0"/>
        <v>54</v>
      </c>
      <c r="D19" s="1">
        <f t="shared" si="3"/>
        <v>23666.678500005917</v>
      </c>
      <c r="E19" s="21">
        <f t="shared" si="4"/>
        <v>9.8861237329920009</v>
      </c>
      <c r="F19" s="21">
        <f t="shared" si="5"/>
        <v>10.281568682311683</v>
      </c>
      <c r="G19" s="1">
        <f t="shared" si="6"/>
        <v>233971.71200000003</v>
      </c>
      <c r="H19" s="22">
        <f t="shared" si="7"/>
        <v>20217</v>
      </c>
      <c r="I19" s="22">
        <f t="shared" si="8"/>
        <v>199867.76350989929</v>
      </c>
      <c r="J19" s="22">
        <f t="shared" si="9"/>
        <v>69953.717228464753</v>
      </c>
      <c r="K19" s="22">
        <f t="shared" si="10"/>
        <v>164017.99477153528</v>
      </c>
      <c r="L19" s="8"/>
      <c r="M19" s="22">
        <f t="shared" si="11"/>
        <v>0</v>
      </c>
      <c r="N19" s="22">
        <f t="shared" si="12"/>
        <v>0</v>
      </c>
      <c r="O19" s="10"/>
      <c r="P19" s="88"/>
      <c r="Q19" s="89"/>
      <c r="R19" s="90"/>
      <c r="S19" s="10"/>
      <c r="T19" s="11"/>
      <c r="U19" s="11"/>
      <c r="V19" s="11"/>
      <c r="W19" s="10"/>
      <c r="X19" s="52">
        <f t="shared" si="13"/>
        <v>164017.99477153528</v>
      </c>
      <c r="Y19" s="44">
        <f t="shared" si="14"/>
        <v>883946.79623268347</v>
      </c>
      <c r="Z19" s="57">
        <f t="shared" si="2"/>
        <v>953778.5931350654</v>
      </c>
      <c r="AA19" s="10"/>
    </row>
    <row r="20" spans="1:27" ht="20.100000000000001" customHeight="1">
      <c r="A20" s="8"/>
      <c r="B20" s="23">
        <f>IF(G$4&gt;=59,"",6)</f>
        <v>6</v>
      </c>
      <c r="C20" s="23">
        <f t="shared" si="0"/>
        <v>55</v>
      </c>
      <c r="D20" s="3">
        <f t="shared" si="3"/>
        <v>23666.678500005917</v>
      </c>
      <c r="E20" s="24">
        <f t="shared" si="4"/>
        <v>10.281568682311683</v>
      </c>
      <c r="F20" s="24">
        <f t="shared" si="5"/>
        <v>10.69283142960415</v>
      </c>
      <c r="G20" s="3">
        <f t="shared" si="6"/>
        <v>243330.58048000006</v>
      </c>
      <c r="H20" s="25">
        <f t="shared" si="7"/>
        <v>20217</v>
      </c>
      <c r="I20" s="25">
        <f t="shared" si="8"/>
        <v>207862.47405029528</v>
      </c>
      <c r="J20" s="25">
        <f t="shared" si="9"/>
        <v>72751.86591760334</v>
      </c>
      <c r="K20" s="25">
        <f t="shared" si="10"/>
        <v>170578.71456239672</v>
      </c>
      <c r="L20" s="8"/>
      <c r="M20" s="26">
        <f t="shared" si="11"/>
        <v>0</v>
      </c>
      <c r="N20" s="26">
        <f t="shared" si="12"/>
        <v>0</v>
      </c>
      <c r="O20" s="10"/>
      <c r="P20" s="91" t="s">
        <v>35</v>
      </c>
      <c r="Q20" s="92"/>
      <c r="R20" s="93"/>
      <c r="S20" s="10"/>
      <c r="T20" s="11"/>
      <c r="U20" s="11"/>
      <c r="V20" s="11"/>
      <c r="W20" s="10"/>
      <c r="X20" s="52">
        <f>IF(K20="",0,K20)</f>
        <v>170578.71456239672</v>
      </c>
      <c r="Y20" s="44"/>
      <c r="Z20" s="57">
        <f>IF(B20="","",Z$19*(1+X$11)^(B20-5))</f>
        <v>1029127.1019927355</v>
      </c>
    </row>
    <row r="21" spans="1:27" ht="20.100000000000001" customHeight="1">
      <c r="A21" s="8"/>
      <c r="B21" s="9">
        <f>IF(G$4&gt;=58,"",7)</f>
        <v>7</v>
      </c>
      <c r="C21" s="9">
        <f t="shared" si="0"/>
        <v>56</v>
      </c>
      <c r="D21" s="1">
        <f t="shared" si="3"/>
        <v>23666.678500005917</v>
      </c>
      <c r="E21" s="21">
        <f t="shared" si="4"/>
        <v>10.69283142960415</v>
      </c>
      <c r="F21" s="21">
        <f t="shared" si="5"/>
        <v>11.120544686788314</v>
      </c>
      <c r="G21" s="1">
        <f t="shared" si="6"/>
        <v>253063.80369920007</v>
      </c>
      <c r="H21" s="22">
        <f t="shared" si="7"/>
        <v>20217</v>
      </c>
      <c r="I21" s="22">
        <f t="shared" si="8"/>
        <v>216176.97301230711</v>
      </c>
      <c r="J21" s="22">
        <f t="shared" si="9"/>
        <v>75661.940554307483</v>
      </c>
      <c r="K21" s="22">
        <f t="shared" si="10"/>
        <v>177401.86314489259</v>
      </c>
      <c r="L21" s="8"/>
      <c r="M21" s="22">
        <f t="shared" si="11"/>
        <v>0</v>
      </c>
      <c r="N21" s="22">
        <f t="shared" si="12"/>
        <v>0</v>
      </c>
      <c r="O21" s="10"/>
      <c r="P21" s="94" t="s">
        <v>36</v>
      </c>
      <c r="Q21" s="95"/>
      <c r="R21" s="98">
        <f>I38</f>
        <v>-1</v>
      </c>
      <c r="S21" s="10"/>
      <c r="T21" s="11"/>
      <c r="U21" s="11"/>
      <c r="V21" s="11"/>
      <c r="W21" s="10"/>
      <c r="X21" s="52">
        <f>IF(K21="",0,K21)</f>
        <v>177401.86314489259</v>
      </c>
      <c r="Y21" s="44"/>
      <c r="Z21" s="57">
        <f>IF(B21="","",Z$19*(1+X$11)^(B21-5))</f>
        <v>1110428.1430501617</v>
      </c>
      <c r="AA21" s="10"/>
    </row>
    <row r="22" spans="1:27" ht="20.100000000000001" customHeight="1">
      <c r="A22" s="8"/>
      <c r="B22" s="23">
        <f>IF(G$4&gt;=57,"",8)</f>
        <v>8</v>
      </c>
      <c r="C22" s="23">
        <f t="shared" si="0"/>
        <v>57</v>
      </c>
      <c r="D22" s="3">
        <f t="shared" si="3"/>
        <v>23666.678500005917</v>
      </c>
      <c r="E22" s="24">
        <f t="shared" si="4"/>
        <v>11.120544686788314</v>
      </c>
      <c r="F22" s="24">
        <f t="shared" si="5"/>
        <v>11.565366474259848</v>
      </c>
      <c r="G22" s="3">
        <f>IF(C22="","",D22*E22)</f>
        <v>263186.35584716802</v>
      </c>
      <c r="H22" s="25">
        <f>IF(B22="","",D22*E$10)</f>
        <v>20217</v>
      </c>
      <c r="I22" s="25">
        <f>IF(B22="","",H22*E22)</f>
        <v>224824.05193279934</v>
      </c>
      <c r="J22" s="25">
        <f>IF(B22="","",I22*I$7)</f>
        <v>78688.418176479769</v>
      </c>
      <c r="K22" s="25">
        <f>IF(B22="","",G22-J22)</f>
        <v>184497.93767068826</v>
      </c>
      <c r="L22" s="8"/>
      <c r="M22" s="26">
        <f t="shared" si="11"/>
        <v>0</v>
      </c>
      <c r="N22" s="26">
        <f t="shared" si="12"/>
        <v>0</v>
      </c>
      <c r="O22" s="10"/>
      <c r="P22" s="96"/>
      <c r="Q22" s="97"/>
      <c r="R22" s="99"/>
      <c r="S22" s="27"/>
      <c r="T22" s="11"/>
      <c r="U22" s="11"/>
      <c r="V22" s="11"/>
      <c r="W22" s="10"/>
      <c r="X22" s="52">
        <f>IF(K22="",0,K22)</f>
        <v>184497.93767068826</v>
      </c>
      <c r="Y22" s="44"/>
      <c r="Z22" s="57">
        <f>IF(B22="","",Z$19*(1+X$11)^(B22-5))</f>
        <v>1198151.9663511245</v>
      </c>
      <c r="AA22" s="10"/>
    </row>
    <row r="23" spans="1:27" ht="20.100000000000001" customHeight="1">
      <c r="A23" s="8"/>
      <c r="B23" s="9">
        <f>IF(G$4&gt;=56,"",9)</f>
        <v>9</v>
      </c>
      <c r="C23" s="9">
        <f t="shared" si="0"/>
        <v>58</v>
      </c>
      <c r="D23" s="1">
        <f t="shared" si="3"/>
        <v>23666.678500005917</v>
      </c>
      <c r="E23" s="21">
        <f t="shared" si="4"/>
        <v>11.565366474259848</v>
      </c>
      <c r="F23" s="21">
        <f t="shared" si="5"/>
        <v>12.027981133230243</v>
      </c>
      <c r="G23" s="1">
        <f>IF(C23="","",D23*E23)</f>
        <v>273713.81008105481</v>
      </c>
      <c r="H23" s="22">
        <f>IF(B23="","",D23*E$10)</f>
        <v>20217</v>
      </c>
      <c r="I23" s="22">
        <f>IF(B23="","",H23*E23)</f>
        <v>233817.01401011136</v>
      </c>
      <c r="J23" s="22">
        <f>IF(B23="","",I23*I$7)</f>
        <v>81835.954903538979</v>
      </c>
      <c r="K23" s="22">
        <f>IF(B23="","",G23-J23)</f>
        <v>191877.85517751583</v>
      </c>
      <c r="L23" s="8"/>
      <c r="M23" s="22">
        <f t="shared" si="11"/>
        <v>0</v>
      </c>
      <c r="N23" s="22">
        <f t="shared" si="12"/>
        <v>0</v>
      </c>
      <c r="O23" s="10"/>
      <c r="P23" s="10"/>
      <c r="Q23" s="10"/>
      <c r="R23" s="68"/>
      <c r="S23" s="27"/>
      <c r="T23" s="11"/>
      <c r="U23" s="11"/>
      <c r="V23" s="11"/>
      <c r="W23" s="10"/>
      <c r="X23" s="52">
        <f t="shared" ref="X23:X34" si="15">IF(K23="",0,K23)</f>
        <v>191877.85517751583</v>
      </c>
      <c r="Y23" s="44"/>
      <c r="Z23" s="57">
        <f>IF(B23="","",Z$19*(1+X$11)^(B23-5))</f>
        <v>1292805.9716928629</v>
      </c>
      <c r="AA23" s="10"/>
    </row>
    <row r="24" spans="1:27" ht="20.100000000000001" customHeight="1">
      <c r="A24" s="8"/>
      <c r="B24" s="23">
        <f>IF(G$4&gt;=55,"",10)</f>
        <v>10</v>
      </c>
      <c r="C24" s="23">
        <f t="shared" si="0"/>
        <v>59</v>
      </c>
      <c r="D24" s="3">
        <f t="shared" si="3"/>
        <v>23666.678500005917</v>
      </c>
      <c r="E24" s="24">
        <f t="shared" si="4"/>
        <v>12.027981133230243</v>
      </c>
      <c r="F24" s="24">
        <f t="shared" si="5"/>
        <v>12.509100378559454</v>
      </c>
      <c r="G24" s="3">
        <f t="shared" ref="G24:G29" si="16">IF(C24="","",D24*E24)</f>
        <v>284662.36248429702</v>
      </c>
      <c r="H24" s="25">
        <f t="shared" ref="H24:H28" si="17">IF(B24="","",D24*E$10)</f>
        <v>20217</v>
      </c>
      <c r="I24" s="25">
        <f t="shared" ref="I24:I28" si="18">IF(B24="","",H24*E24)</f>
        <v>243169.69457051583</v>
      </c>
      <c r="J24" s="25">
        <f t="shared" ref="J24:J28" si="19">IF(B24="","",I24*I$7)</f>
        <v>85109.393099680528</v>
      </c>
      <c r="K24" s="25">
        <f t="shared" ref="K24:K28" si="20">IF(B24="","",G24-J24)</f>
        <v>199552.96938461647</v>
      </c>
      <c r="L24" s="8"/>
      <c r="M24" s="26">
        <f t="shared" si="11"/>
        <v>0</v>
      </c>
      <c r="N24" s="26">
        <f>IF(B24="","",M24*E24)</f>
        <v>0</v>
      </c>
      <c r="O24" s="10"/>
      <c r="P24" s="10"/>
      <c r="Q24" s="10"/>
      <c r="R24" s="68"/>
      <c r="S24" s="10"/>
      <c r="T24" s="11"/>
      <c r="U24" s="11"/>
      <c r="V24" s="11"/>
      <c r="W24" s="10"/>
      <c r="X24" s="52">
        <f t="shared" si="15"/>
        <v>199552.96938461647</v>
      </c>
      <c r="Y24" s="44"/>
      <c r="Z24" s="57">
        <f>IF(B24="","",Z$19*(1+X$11)^(B24-5))</f>
        <v>1394937.643456599</v>
      </c>
      <c r="AA24" s="10"/>
    </row>
    <row r="25" spans="1:27" ht="20.100000000000001" customHeight="1">
      <c r="A25" s="8"/>
      <c r="B25" s="9">
        <f>IF(G$4&gt;=54,"",11)</f>
        <v>11</v>
      </c>
      <c r="C25" s="9">
        <f t="shared" si="0"/>
        <v>60</v>
      </c>
      <c r="D25" s="1">
        <f t="shared" si="3"/>
        <v>0</v>
      </c>
      <c r="E25" s="21">
        <f t="shared" si="4"/>
        <v>12.509100378559454</v>
      </c>
      <c r="F25" s="21">
        <f t="shared" si="5"/>
        <v>13.009464393701831</v>
      </c>
      <c r="G25" s="1">
        <f t="shared" si="16"/>
        <v>0</v>
      </c>
      <c r="H25" s="22">
        <f t="shared" si="17"/>
        <v>0</v>
      </c>
      <c r="I25" s="22">
        <f t="shared" si="18"/>
        <v>0</v>
      </c>
      <c r="J25" s="22">
        <f t="shared" si="19"/>
        <v>0</v>
      </c>
      <c r="K25" s="22">
        <f t="shared" si="20"/>
        <v>0</v>
      </c>
      <c r="L25" s="8"/>
      <c r="M25" s="22">
        <f>IF(B25="","",M$15)</f>
        <v>0</v>
      </c>
      <c r="N25" s="22">
        <f>IF(B25="","",M25*E25)</f>
        <v>0</v>
      </c>
      <c r="O25" s="10"/>
      <c r="P25" s="106" t="s">
        <v>26</v>
      </c>
      <c r="Q25" s="107"/>
      <c r="R25" s="108"/>
      <c r="S25" s="10"/>
      <c r="T25" s="11"/>
      <c r="U25" s="11"/>
      <c r="V25" s="11"/>
      <c r="W25" s="10"/>
      <c r="X25" s="52">
        <f t="shared" si="15"/>
        <v>0</v>
      </c>
      <c r="Y25" s="44"/>
      <c r="Z25" s="57">
        <f t="shared" ref="Z25:Z34" si="21">IF(B25="","",Z$19*(1+X$11)^(B25-5))</f>
        <v>1505137.7172896701</v>
      </c>
      <c r="AA25" s="10"/>
    </row>
    <row r="26" spans="1:27" ht="20.100000000000001" customHeight="1">
      <c r="A26" s="8"/>
      <c r="B26" s="23">
        <f>IF(G$4&gt;=53,"",12)</f>
        <v>12</v>
      </c>
      <c r="C26" s="23">
        <f t="shared" si="0"/>
        <v>61</v>
      </c>
      <c r="D26" s="3">
        <f t="shared" si="3"/>
        <v>0</v>
      </c>
      <c r="E26" s="24">
        <f t="shared" si="4"/>
        <v>13.009464393701831</v>
      </c>
      <c r="F26" s="24">
        <f t="shared" si="5"/>
        <v>13.529842969449907</v>
      </c>
      <c r="G26" s="3">
        <f t="shared" si="16"/>
        <v>0</v>
      </c>
      <c r="H26" s="25">
        <f t="shared" si="17"/>
        <v>0</v>
      </c>
      <c r="I26" s="25">
        <f t="shared" si="18"/>
        <v>0</v>
      </c>
      <c r="J26" s="25">
        <f t="shared" si="19"/>
        <v>0</v>
      </c>
      <c r="K26" s="25">
        <f t="shared" si="20"/>
        <v>0</v>
      </c>
      <c r="L26" s="8"/>
      <c r="M26" s="26">
        <f>IF(B26="","",M$15)</f>
        <v>0</v>
      </c>
      <c r="N26" s="26">
        <f>IF(B26="","",M26*E26)</f>
        <v>0</v>
      </c>
      <c r="O26" s="10"/>
      <c r="P26" s="125" t="s">
        <v>37</v>
      </c>
      <c r="Q26" s="126"/>
      <c r="R26" s="127"/>
      <c r="S26" s="10"/>
      <c r="T26" s="11"/>
      <c r="U26" s="11"/>
      <c r="V26" s="11"/>
      <c r="W26" s="10"/>
      <c r="X26" s="52">
        <f t="shared" si="15"/>
        <v>0</v>
      </c>
      <c r="Y26" s="44"/>
      <c r="Z26" s="57">
        <f t="shared" si="21"/>
        <v>1624043.5969555543</v>
      </c>
      <c r="AA26" s="10"/>
    </row>
    <row r="27" spans="1:27" ht="20.100000000000001" customHeight="1">
      <c r="A27" s="8"/>
      <c r="B27" s="9">
        <f>IF(G$4&gt;=52,"",13)</f>
        <v>13</v>
      </c>
      <c r="C27" s="9">
        <f t="shared" si="0"/>
        <v>62</v>
      </c>
      <c r="D27" s="1">
        <f t="shared" si="3"/>
        <v>0</v>
      </c>
      <c r="E27" s="21">
        <f t="shared" si="4"/>
        <v>13.529842969449907</v>
      </c>
      <c r="F27" s="21">
        <f t="shared" si="5"/>
        <v>14.071036688227904</v>
      </c>
      <c r="G27" s="1">
        <f t="shared" si="16"/>
        <v>0</v>
      </c>
      <c r="H27" s="22">
        <f t="shared" si="17"/>
        <v>0</v>
      </c>
      <c r="I27" s="22">
        <f t="shared" si="18"/>
        <v>0</v>
      </c>
      <c r="J27" s="22">
        <f t="shared" si="19"/>
        <v>0</v>
      </c>
      <c r="K27" s="22">
        <f t="shared" si="20"/>
        <v>0</v>
      </c>
      <c r="L27" s="8"/>
      <c r="M27" s="22">
        <f t="shared" ref="M27:M33" si="22">IF(B27="","",M$15)</f>
        <v>0</v>
      </c>
      <c r="N27" s="22">
        <f t="shared" ref="N27:N33" si="23">IF(B27="","",M27*E27)</f>
        <v>0</v>
      </c>
      <c r="O27" s="10"/>
      <c r="P27" s="85">
        <f>N15</f>
        <v>0</v>
      </c>
      <c r="Q27" s="86"/>
      <c r="R27" s="87"/>
      <c r="S27" s="10"/>
      <c r="T27" s="11"/>
      <c r="U27" s="11"/>
      <c r="V27" s="11"/>
      <c r="W27" s="10"/>
      <c r="X27" s="52">
        <f t="shared" si="15"/>
        <v>0</v>
      </c>
      <c r="Y27" s="44"/>
      <c r="Z27" s="57">
        <f t="shared" si="21"/>
        <v>1752343.0411150428</v>
      </c>
      <c r="AA27" s="10"/>
    </row>
    <row r="28" spans="1:27" ht="20.100000000000001" customHeight="1">
      <c r="A28" s="8"/>
      <c r="B28" s="23">
        <f>IF(G$4&gt;=51,"",14)</f>
        <v>14</v>
      </c>
      <c r="C28" s="23">
        <f t="shared" si="0"/>
        <v>63</v>
      </c>
      <c r="D28" s="3">
        <f t="shared" si="3"/>
        <v>0</v>
      </c>
      <c r="E28" s="24">
        <f t="shared" si="4"/>
        <v>14.071036688227904</v>
      </c>
      <c r="F28" s="24">
        <f t="shared" si="5"/>
        <v>14.633878155757019</v>
      </c>
      <c r="G28" s="3">
        <f t="shared" si="16"/>
        <v>0</v>
      </c>
      <c r="H28" s="25">
        <f t="shared" si="17"/>
        <v>0</v>
      </c>
      <c r="I28" s="25">
        <f t="shared" si="18"/>
        <v>0</v>
      </c>
      <c r="J28" s="25">
        <f t="shared" si="19"/>
        <v>0</v>
      </c>
      <c r="K28" s="25">
        <f t="shared" si="20"/>
        <v>0</v>
      </c>
      <c r="L28" s="8"/>
      <c r="M28" s="26">
        <f t="shared" si="22"/>
        <v>0</v>
      </c>
      <c r="N28" s="26">
        <f t="shared" si="23"/>
        <v>0</v>
      </c>
      <c r="O28" s="10"/>
      <c r="P28" s="88"/>
      <c r="Q28" s="89"/>
      <c r="R28" s="90"/>
      <c r="S28" s="10"/>
      <c r="T28" s="11"/>
      <c r="U28" s="11"/>
      <c r="V28" s="11"/>
      <c r="W28" s="10"/>
      <c r="X28" s="52">
        <f t="shared" si="15"/>
        <v>0</v>
      </c>
      <c r="Y28" s="44"/>
      <c r="Z28" s="57">
        <f t="shared" si="21"/>
        <v>1890778.1413631311</v>
      </c>
      <c r="AA28" s="10"/>
    </row>
    <row r="29" spans="1:27" ht="20.100000000000001" customHeight="1">
      <c r="A29" s="8"/>
      <c r="B29" s="9" t="str">
        <f>IF(G$4&gt;=50,"",15)</f>
        <v/>
      </c>
      <c r="C29" s="9" t="str">
        <f t="shared" si="0"/>
        <v/>
      </c>
      <c r="D29" s="1" t="str">
        <f t="shared" si="3"/>
        <v/>
      </c>
      <c r="E29" s="21" t="str">
        <f t="shared" si="4"/>
        <v/>
      </c>
      <c r="F29" s="21" t="str">
        <f>IF(B29="","",E$7*(1+I$6)^B29)</f>
        <v/>
      </c>
      <c r="G29" s="1" t="str">
        <f t="shared" si="16"/>
        <v/>
      </c>
      <c r="H29" s="22" t="str">
        <f t="shared" ref="H29:H30" si="24">IF(B29="","",D29*E$10)</f>
        <v/>
      </c>
      <c r="I29" s="22" t="str">
        <f t="shared" ref="I29:I30" si="25">IF(B29="","",H29*E29)</f>
        <v/>
      </c>
      <c r="J29" s="22" t="str">
        <f t="shared" ref="J29:J30" si="26">IF(B29="","",I29*I$7)</f>
        <v/>
      </c>
      <c r="K29" s="22" t="str">
        <f t="shared" ref="K29:K30" si="27">IF(B29="","",G29-J29)</f>
        <v/>
      </c>
      <c r="L29" s="8"/>
      <c r="M29" s="22" t="str">
        <f t="shared" si="22"/>
        <v/>
      </c>
      <c r="N29" s="22" t="str">
        <f t="shared" si="23"/>
        <v/>
      </c>
      <c r="O29" s="10"/>
      <c r="P29" s="91" t="s">
        <v>38</v>
      </c>
      <c r="Q29" s="92"/>
      <c r="R29" s="93"/>
      <c r="S29" s="10"/>
      <c r="T29" s="11"/>
      <c r="U29" s="11"/>
      <c r="V29" s="11"/>
      <c r="W29" s="10"/>
      <c r="X29" s="52">
        <f t="shared" si="15"/>
        <v>0</v>
      </c>
      <c r="Y29" s="44"/>
      <c r="Z29" s="57" t="str">
        <f t="shared" si="21"/>
        <v/>
      </c>
      <c r="AA29" s="10"/>
    </row>
    <row r="30" spans="1:27" ht="20.100000000000001" customHeight="1">
      <c r="A30" s="8"/>
      <c r="B30" s="23" t="str">
        <f>IF(G$4&gt;=49,"",16)</f>
        <v/>
      </c>
      <c r="C30" s="23" t="str">
        <f t="shared" si="0"/>
        <v/>
      </c>
      <c r="D30" s="3" t="str">
        <f t="shared" si="3"/>
        <v/>
      </c>
      <c r="E30" s="24" t="str">
        <f>IF(B30="","",E$7*(1+I$6)^B29)</f>
        <v/>
      </c>
      <c r="F30" s="24" t="str">
        <f>IF(B30="","",E$7*(1+I$6)^B30)</f>
        <v/>
      </c>
      <c r="G30" s="3" t="str">
        <f>IF(C30="","",D30*E30)</f>
        <v/>
      </c>
      <c r="H30" s="25" t="str">
        <f t="shared" si="24"/>
        <v/>
      </c>
      <c r="I30" s="25" t="str">
        <f t="shared" si="25"/>
        <v/>
      </c>
      <c r="J30" s="25" t="str">
        <f t="shared" si="26"/>
        <v/>
      </c>
      <c r="K30" s="25" t="str">
        <f t="shared" si="27"/>
        <v/>
      </c>
      <c r="L30" s="8"/>
      <c r="M30" s="26" t="str">
        <f t="shared" si="22"/>
        <v/>
      </c>
      <c r="N30" s="26" t="str">
        <f t="shared" si="23"/>
        <v/>
      </c>
      <c r="O30" s="10"/>
      <c r="P30" s="64"/>
      <c r="Q30" s="65"/>
      <c r="R30" s="66"/>
      <c r="S30" s="10"/>
      <c r="T30" s="11"/>
      <c r="U30" s="11"/>
      <c r="V30" s="11"/>
      <c r="W30" s="10"/>
      <c r="X30" s="52">
        <f t="shared" si="15"/>
        <v>0</v>
      </c>
      <c r="Y30" s="44"/>
      <c r="Z30" s="57" t="str">
        <f t="shared" si="21"/>
        <v/>
      </c>
      <c r="AA30" s="10"/>
    </row>
    <row r="31" spans="1:27" ht="20.100000000000001" customHeight="1">
      <c r="A31" s="8"/>
      <c r="B31" s="9" t="str">
        <f>IF(G$4&gt;=48,"",17)</f>
        <v/>
      </c>
      <c r="C31" s="9" t="str">
        <f t="shared" si="0"/>
        <v/>
      </c>
      <c r="D31" s="1" t="str">
        <f t="shared" si="3"/>
        <v/>
      </c>
      <c r="E31" s="21" t="str">
        <f>IF(B31="","",E$7*(1+I$6)^B30)</f>
        <v/>
      </c>
      <c r="F31" s="21" t="str">
        <f t="shared" ref="F31:F33" si="28">IF(B31="","",E$7*(1+I$6)^B31)</f>
        <v/>
      </c>
      <c r="G31" s="1" t="str">
        <f>IF(C31="","",D31*E31)</f>
        <v/>
      </c>
      <c r="H31" s="22" t="str">
        <f>IF(B31="","",D31*E$10)</f>
        <v/>
      </c>
      <c r="I31" s="22" t="str">
        <f>IF(B31="","",H31*E31)</f>
        <v/>
      </c>
      <c r="J31" s="22" t="str">
        <f>IF(B31="","",I31*I$7)</f>
        <v/>
      </c>
      <c r="K31" s="22" t="str">
        <f>IF(B31="","",G31-J31)</f>
        <v/>
      </c>
      <c r="L31" s="8"/>
      <c r="M31" s="22" t="str">
        <f t="shared" si="22"/>
        <v/>
      </c>
      <c r="N31" s="22" t="str">
        <f t="shared" si="23"/>
        <v/>
      </c>
      <c r="O31" s="10"/>
      <c r="P31" s="64"/>
      <c r="Q31" s="65"/>
      <c r="R31" s="66"/>
      <c r="S31" s="10"/>
      <c r="T31" s="11"/>
      <c r="U31" s="11"/>
      <c r="V31" s="11"/>
      <c r="W31" s="10"/>
      <c r="X31" s="52">
        <f t="shared" si="15"/>
        <v>0</v>
      </c>
      <c r="Y31" s="44"/>
      <c r="Z31" s="57" t="str">
        <f t="shared" si="21"/>
        <v/>
      </c>
      <c r="AA31" s="10"/>
    </row>
    <row r="32" spans="1:27" ht="20.100000000000001" customHeight="1">
      <c r="A32" s="8"/>
      <c r="B32" s="23" t="str">
        <f>IF(G$4&gt;=47,"",18)</f>
        <v/>
      </c>
      <c r="C32" s="23" t="str">
        <f t="shared" si="0"/>
        <v/>
      </c>
      <c r="D32" s="3" t="str">
        <f t="shared" si="3"/>
        <v/>
      </c>
      <c r="E32" s="24" t="str">
        <f t="shared" ref="E32:E33" si="29">IF(B32="","",E$7*(1+I$6)^B31)</f>
        <v/>
      </c>
      <c r="F32" s="24" t="str">
        <f t="shared" si="28"/>
        <v/>
      </c>
      <c r="G32" s="3" t="str">
        <f t="shared" ref="G32:G33" si="30">IF(C32="","",D32*E32)</f>
        <v/>
      </c>
      <c r="H32" s="25" t="str">
        <f t="shared" ref="H32:H33" si="31">IF(B32="","",D32*E$10)</f>
        <v/>
      </c>
      <c r="I32" s="25" t="str">
        <f t="shared" ref="I32:I33" si="32">IF(B32="","",H32*E32)</f>
        <v/>
      </c>
      <c r="J32" s="25" t="str">
        <f t="shared" ref="J32:J33" si="33">IF(B32="","",I32*I$7)</f>
        <v/>
      </c>
      <c r="K32" s="25" t="str">
        <f t="shared" ref="K32:K33" si="34">IF(B32="","",G32-J32)</f>
        <v/>
      </c>
      <c r="L32" s="8"/>
      <c r="M32" s="26" t="str">
        <f t="shared" si="22"/>
        <v/>
      </c>
      <c r="N32" s="26" t="str">
        <f t="shared" si="23"/>
        <v/>
      </c>
      <c r="O32" s="10"/>
      <c r="P32" s="119" t="s">
        <v>39</v>
      </c>
      <c r="Q32" s="120"/>
      <c r="R32" s="121"/>
      <c r="S32" s="10"/>
      <c r="T32" s="11"/>
      <c r="U32" s="11"/>
      <c r="V32" s="11"/>
      <c r="W32" s="10"/>
      <c r="X32" s="52">
        <f t="shared" si="15"/>
        <v>0</v>
      </c>
      <c r="Y32" s="44"/>
      <c r="Z32" s="57" t="str">
        <f t="shared" si="21"/>
        <v/>
      </c>
      <c r="AA32" s="10"/>
    </row>
    <row r="33" spans="1:27" ht="20.100000000000001" customHeight="1">
      <c r="A33" s="8"/>
      <c r="B33" s="9" t="str">
        <f>IF(G$4&gt;=46,"",19)</f>
        <v/>
      </c>
      <c r="C33" s="9" t="str">
        <f t="shared" si="0"/>
        <v/>
      </c>
      <c r="D33" s="1" t="str">
        <f t="shared" si="3"/>
        <v/>
      </c>
      <c r="E33" s="21" t="str">
        <f t="shared" si="29"/>
        <v/>
      </c>
      <c r="F33" s="21" t="str">
        <f t="shared" si="28"/>
        <v/>
      </c>
      <c r="G33" s="1" t="str">
        <f t="shared" si="30"/>
        <v/>
      </c>
      <c r="H33" s="22" t="str">
        <f t="shared" si="31"/>
        <v/>
      </c>
      <c r="I33" s="22" t="str">
        <f t="shared" si="32"/>
        <v/>
      </c>
      <c r="J33" s="22" t="str">
        <f t="shared" si="33"/>
        <v/>
      </c>
      <c r="K33" s="22" t="str">
        <f t="shared" si="34"/>
        <v/>
      </c>
      <c r="L33" s="8"/>
      <c r="M33" s="22" t="str">
        <f t="shared" si="22"/>
        <v/>
      </c>
      <c r="N33" s="22" t="str">
        <f t="shared" si="23"/>
        <v/>
      </c>
      <c r="O33" s="10"/>
      <c r="P33" s="122"/>
      <c r="Q33" s="123"/>
      <c r="R33" s="124"/>
      <c r="S33" s="10"/>
      <c r="T33" s="11"/>
      <c r="U33" s="11"/>
      <c r="V33" s="11"/>
      <c r="W33" s="10"/>
      <c r="X33" s="52">
        <f t="shared" si="15"/>
        <v>0</v>
      </c>
      <c r="Y33" s="44"/>
      <c r="Z33" s="57" t="str">
        <f t="shared" si="21"/>
        <v/>
      </c>
      <c r="AA33" s="10"/>
    </row>
    <row r="34" spans="1:27" ht="20.100000000000001" customHeight="1">
      <c r="A34" s="8"/>
      <c r="B34" s="23">
        <f>65-G4</f>
        <v>15</v>
      </c>
      <c r="C34" s="23">
        <f>B34+G4-1</f>
        <v>64</v>
      </c>
      <c r="D34" s="3">
        <v>0</v>
      </c>
      <c r="E34" s="24">
        <f>E$7*(1+I$6)^(B34-1)</f>
        <v>14.633878155757019</v>
      </c>
      <c r="F34" s="24">
        <f>E$7*(1+I$6)^B34</f>
        <v>15.2192332819873</v>
      </c>
      <c r="G34" s="3">
        <f t="shared" ref="G34" si="35">D34*E34</f>
        <v>0</v>
      </c>
      <c r="H34" s="25">
        <f>D34*E$10</f>
        <v>0</v>
      </c>
      <c r="I34" s="25">
        <f t="shared" ref="I34" si="36">H34*E34</f>
        <v>0</v>
      </c>
      <c r="J34" s="25">
        <f>I34*I$7</f>
        <v>0</v>
      </c>
      <c r="K34" s="25">
        <f t="shared" ref="K34" si="37">G34-J34</f>
        <v>0</v>
      </c>
      <c r="L34" s="8"/>
      <c r="M34" s="26">
        <f>M15</f>
        <v>0</v>
      </c>
      <c r="N34" s="26">
        <f>M34*E34</f>
        <v>0</v>
      </c>
      <c r="O34" s="10"/>
      <c r="P34" s="100">
        <f>J35</f>
        <v>717925.95396669349</v>
      </c>
      <c r="Q34" s="101"/>
      <c r="R34" s="102"/>
      <c r="S34" s="10"/>
      <c r="T34" s="11"/>
      <c r="U34" s="11"/>
      <c r="V34" s="11"/>
      <c r="W34" s="10"/>
      <c r="X34" s="52">
        <f t="shared" si="15"/>
        <v>0</v>
      </c>
      <c r="Y34" s="44"/>
      <c r="Z34" s="57">
        <f t="shared" si="21"/>
        <v>2040149.6145308185</v>
      </c>
      <c r="AA34" s="10"/>
    </row>
    <row r="35" spans="1:27" ht="20.100000000000001" customHeight="1">
      <c r="A35" s="8"/>
      <c r="B35" s="28"/>
      <c r="C35" s="28"/>
      <c r="D35" s="29">
        <f>SUM(D15:D34)</f>
        <v>236666.78500005917</v>
      </c>
      <c r="E35" s="29"/>
      <c r="F35" s="29"/>
      <c r="G35" s="29">
        <f>SUM(G15:G34)</f>
        <v>2401221.4245917201</v>
      </c>
      <c r="H35" s="29">
        <f>SUM(H15:H34)</f>
        <v>202170</v>
      </c>
      <c r="I35" s="29"/>
      <c r="J35" s="29">
        <f>SUM(J15:J34)</f>
        <v>717925.95396669349</v>
      </c>
      <c r="K35" s="29">
        <f>SUM(K15:K34)</f>
        <v>1683295.4706250266</v>
      </c>
      <c r="L35" s="8"/>
      <c r="M35" s="30">
        <f>M34</f>
        <v>0</v>
      </c>
      <c r="N35" s="30">
        <f>N34</f>
        <v>0</v>
      </c>
      <c r="O35" s="10"/>
      <c r="P35" s="103"/>
      <c r="Q35" s="104"/>
      <c r="R35" s="105"/>
      <c r="S35" s="10"/>
      <c r="T35" s="11"/>
      <c r="U35" s="11"/>
      <c r="V35" s="11"/>
      <c r="W35" s="10"/>
      <c r="X35" s="53">
        <f>SUM(X15:X34)</f>
        <v>1683295.4706250266</v>
      </c>
      <c r="Y35" s="45"/>
      <c r="Z35" s="58">
        <f>Z34/X35-1</f>
        <v>0.21199732912801572</v>
      </c>
      <c r="AA35" s="10"/>
    </row>
    <row r="36" spans="1:27" ht="20.100000000000001" customHeight="1">
      <c r="A36" s="8"/>
      <c r="B36" s="9"/>
      <c r="C36" s="9"/>
      <c r="D36" s="8"/>
      <c r="E36" s="8"/>
      <c r="F36" s="8"/>
      <c r="G36" s="8"/>
      <c r="H36" s="8"/>
      <c r="I36" s="8"/>
      <c r="J36" s="8"/>
      <c r="K36" s="8"/>
      <c r="L36" s="8"/>
      <c r="M36" s="8"/>
      <c r="N36" s="18"/>
      <c r="O36" s="10"/>
      <c r="P36" s="10"/>
      <c r="Q36" s="10"/>
      <c r="R36" s="10"/>
      <c r="S36" s="10"/>
      <c r="T36" s="11"/>
      <c r="U36" s="11"/>
      <c r="V36" s="11"/>
      <c r="W36" s="10"/>
      <c r="X36" s="27"/>
      <c r="Y36" s="10"/>
      <c r="Z36" s="18"/>
      <c r="AA36" s="10"/>
    </row>
    <row r="37" spans="1:27" ht="20.100000000000001" customHeight="1">
      <c r="A37" s="8"/>
      <c r="B37" s="78" t="s">
        <v>40</v>
      </c>
      <c r="C37" s="78"/>
      <c r="D37" s="78"/>
      <c r="E37" s="79" t="s">
        <v>30</v>
      </c>
      <c r="F37" s="80"/>
      <c r="G37" s="6"/>
      <c r="H37" s="8"/>
      <c r="I37" s="31" t="s">
        <v>41</v>
      </c>
      <c r="J37" s="8"/>
      <c r="K37" s="8"/>
      <c r="L37" s="8"/>
      <c r="M37" s="8"/>
      <c r="N37" s="18"/>
      <c r="O37" s="10"/>
      <c r="P37" s="10"/>
      <c r="Q37" s="10"/>
      <c r="R37" s="10"/>
      <c r="S37" s="10"/>
      <c r="T37" s="11"/>
      <c r="U37" s="11"/>
      <c r="V37" s="11"/>
      <c r="W37" s="10"/>
      <c r="X37" s="27"/>
      <c r="Y37" s="10"/>
      <c r="Z37" s="18"/>
      <c r="AA37" s="10"/>
    </row>
    <row r="38" spans="1:27" ht="20.100000000000001" customHeight="1">
      <c r="A38" s="18"/>
      <c r="B38" s="78"/>
      <c r="C38" s="78"/>
      <c r="D38" s="78"/>
      <c r="E38" s="79" t="s">
        <v>42</v>
      </c>
      <c r="F38" s="81"/>
      <c r="G38" s="32">
        <f>G37*E34</f>
        <v>0</v>
      </c>
      <c r="H38" s="10"/>
      <c r="I38" s="4">
        <f>G38/K35-1</f>
        <v>-1</v>
      </c>
      <c r="J38" s="10"/>
      <c r="K38" s="10"/>
      <c r="L38" s="10"/>
      <c r="M38" s="8"/>
      <c r="N38" s="18"/>
      <c r="O38" s="10"/>
      <c r="P38" s="10"/>
      <c r="Q38" s="10"/>
      <c r="R38" s="10"/>
      <c r="S38" s="10"/>
      <c r="T38" s="11"/>
      <c r="U38" s="11"/>
      <c r="V38" s="11"/>
      <c r="W38" s="10"/>
      <c r="X38" s="27"/>
      <c r="Y38" s="10"/>
      <c r="Z38" s="18"/>
      <c r="AA38" s="10"/>
    </row>
    <row r="39" spans="1:27">
      <c r="A39" s="10"/>
      <c r="B39" s="33"/>
      <c r="C39" s="33"/>
      <c r="D39" s="10"/>
      <c r="E39" s="10"/>
      <c r="F39" s="10"/>
      <c r="G39" s="10"/>
      <c r="H39" s="10"/>
      <c r="I39" s="10"/>
      <c r="J39" s="10"/>
      <c r="K39" s="10"/>
      <c r="L39" s="10"/>
      <c r="M39" s="8"/>
      <c r="N39" s="18"/>
      <c r="O39" s="10"/>
      <c r="P39" s="10"/>
      <c r="Q39" s="10"/>
      <c r="R39" s="10"/>
      <c r="S39" s="10"/>
      <c r="T39" s="11"/>
      <c r="U39" s="11"/>
      <c r="V39" s="11"/>
      <c r="W39" s="10"/>
      <c r="X39" s="27"/>
      <c r="Y39" s="10"/>
      <c r="Z39" s="18"/>
      <c r="AA39" s="10"/>
    </row>
    <row r="40" spans="1:27">
      <c r="A40" s="10"/>
      <c r="B40" s="33"/>
      <c r="C40" s="33"/>
      <c r="D40" s="10"/>
      <c r="E40" s="10"/>
      <c r="F40" s="10"/>
      <c r="G40" s="10"/>
      <c r="H40" s="10"/>
      <c r="I40" s="10"/>
      <c r="J40" s="10"/>
      <c r="K40" s="10"/>
      <c r="L40" s="10"/>
      <c r="M40" s="8"/>
      <c r="N40" s="18"/>
      <c r="O40" s="10"/>
      <c r="P40" s="10"/>
      <c r="Q40" s="10"/>
      <c r="R40" s="10"/>
      <c r="S40" s="10"/>
      <c r="T40" s="11"/>
      <c r="U40" s="11"/>
      <c r="V40" s="11"/>
      <c r="W40" s="10"/>
      <c r="X40" s="54"/>
      <c r="Y40" s="10"/>
      <c r="Z40" s="18"/>
      <c r="AA40" s="10"/>
    </row>
    <row r="41" spans="1:27" ht="24.95" customHeight="1">
      <c r="A41" s="10"/>
      <c r="B41" s="33"/>
      <c r="C41" s="33"/>
      <c r="D41" s="10"/>
      <c r="E41" s="10"/>
      <c r="F41" s="10"/>
      <c r="G41" s="10"/>
      <c r="H41" s="10"/>
      <c r="I41" s="10"/>
      <c r="J41" s="10"/>
      <c r="K41" s="72" t="s">
        <v>43</v>
      </c>
      <c r="L41" s="73"/>
      <c r="M41" s="73"/>
      <c r="N41" s="73"/>
      <c r="O41" s="73"/>
      <c r="P41" s="73"/>
      <c r="Q41" s="73"/>
      <c r="R41" s="74"/>
      <c r="S41" s="10"/>
      <c r="T41" s="11"/>
      <c r="U41" s="11"/>
      <c r="V41" s="11"/>
      <c r="W41" s="10"/>
      <c r="X41" s="54"/>
      <c r="Y41" s="10"/>
      <c r="Z41" s="18"/>
      <c r="AA41" s="10"/>
    </row>
    <row r="42" spans="1:27" ht="15.95" customHeight="1">
      <c r="A42" s="10"/>
      <c r="B42" s="33"/>
      <c r="C42" s="33"/>
      <c r="D42" s="10"/>
      <c r="E42" s="10"/>
      <c r="F42" s="10"/>
      <c r="G42" s="10"/>
      <c r="H42" s="10"/>
      <c r="I42" s="10"/>
      <c r="J42" s="10"/>
      <c r="K42" s="72"/>
      <c r="L42" s="73"/>
      <c r="M42" s="73"/>
      <c r="N42" s="73"/>
      <c r="O42" s="73"/>
      <c r="P42" s="73"/>
      <c r="Q42" s="73"/>
      <c r="R42" s="74"/>
      <c r="S42" s="10"/>
      <c r="T42" s="11"/>
      <c r="U42" s="11"/>
      <c r="V42" s="11"/>
      <c r="W42" s="10"/>
      <c r="X42" s="54"/>
      <c r="Y42" s="10"/>
      <c r="Z42" s="18"/>
      <c r="AA42" s="10"/>
    </row>
    <row r="43" spans="1:27" ht="15.95" customHeight="1">
      <c r="A43" s="10"/>
      <c r="B43" s="33"/>
      <c r="C43" s="33"/>
      <c r="D43" s="10"/>
      <c r="E43" s="10"/>
      <c r="F43" s="10"/>
      <c r="G43" s="10"/>
      <c r="H43" s="10"/>
      <c r="I43" s="10"/>
      <c r="J43" s="10"/>
      <c r="K43" s="72"/>
      <c r="L43" s="73"/>
      <c r="M43" s="73"/>
      <c r="N43" s="73"/>
      <c r="O43" s="73"/>
      <c r="P43" s="73"/>
      <c r="Q43" s="73"/>
      <c r="R43" s="74"/>
      <c r="S43" s="10"/>
      <c r="T43" s="11"/>
      <c r="U43" s="11"/>
      <c r="V43" s="11"/>
      <c r="W43" s="10"/>
      <c r="X43" s="54"/>
      <c r="Y43" s="10"/>
      <c r="Z43" s="18"/>
      <c r="AA43" s="10"/>
    </row>
    <row r="44" spans="1:27" ht="15.95" customHeight="1">
      <c r="A44" s="10"/>
      <c r="B44" s="33"/>
      <c r="C44" s="33"/>
      <c r="D44" s="10"/>
      <c r="E44" s="10"/>
      <c r="F44" s="10"/>
      <c r="G44" s="10"/>
      <c r="H44" s="10"/>
      <c r="I44" s="10"/>
      <c r="J44" s="10"/>
      <c r="K44" s="72"/>
      <c r="L44" s="73"/>
      <c r="M44" s="73"/>
      <c r="N44" s="73"/>
      <c r="O44" s="73"/>
      <c r="P44" s="73"/>
      <c r="Q44" s="73"/>
      <c r="R44" s="74"/>
      <c r="S44" s="10"/>
      <c r="T44" s="11"/>
      <c r="U44" s="11"/>
      <c r="V44" s="11"/>
      <c r="W44" s="10"/>
      <c r="X44" s="54"/>
      <c r="Y44" s="10"/>
      <c r="Z44" s="18"/>
      <c r="AA44" s="10"/>
    </row>
    <row r="45" spans="1:27" ht="15.95" customHeight="1">
      <c r="A45" s="10"/>
      <c r="B45" s="33"/>
      <c r="C45" s="33"/>
      <c r="D45" s="10"/>
      <c r="E45" s="10"/>
      <c r="F45" s="10"/>
      <c r="G45" s="10"/>
      <c r="H45" s="10"/>
      <c r="I45" s="10"/>
      <c r="J45" s="10"/>
      <c r="K45" s="72"/>
      <c r="L45" s="73"/>
      <c r="M45" s="73"/>
      <c r="N45" s="73"/>
      <c r="O45" s="73"/>
      <c r="P45" s="73"/>
      <c r="Q45" s="73"/>
      <c r="R45" s="74"/>
      <c r="S45" s="10"/>
      <c r="T45" s="11"/>
      <c r="U45" s="11"/>
      <c r="V45" s="11"/>
      <c r="W45" s="10"/>
      <c r="X45" s="54"/>
      <c r="Y45" s="10"/>
      <c r="Z45" s="18"/>
      <c r="AA45" s="10"/>
    </row>
    <row r="46" spans="1:27" ht="15.95" customHeight="1">
      <c r="A46" s="10"/>
      <c r="B46" s="33"/>
      <c r="C46" s="33"/>
      <c r="D46" s="10"/>
      <c r="E46" s="10"/>
      <c r="F46" s="10"/>
      <c r="G46" s="10"/>
      <c r="H46" s="10"/>
      <c r="I46" s="10"/>
      <c r="J46" s="10"/>
      <c r="K46" s="75" t="s">
        <v>44</v>
      </c>
      <c r="L46" s="76"/>
      <c r="M46" s="76"/>
      <c r="N46" s="76"/>
      <c r="O46" s="76"/>
      <c r="P46" s="76"/>
      <c r="Q46" s="76"/>
      <c r="R46" s="77"/>
      <c r="S46" s="10"/>
      <c r="T46" s="11"/>
      <c r="U46" s="11"/>
      <c r="V46" s="11"/>
      <c r="W46" s="10"/>
      <c r="X46" s="54"/>
      <c r="Y46" s="10"/>
      <c r="Z46" s="18"/>
      <c r="AA46" s="10"/>
    </row>
    <row r="47" spans="1:27" ht="15.95" customHeight="1">
      <c r="A47" s="10"/>
      <c r="B47" s="33"/>
      <c r="C47" s="33"/>
      <c r="D47" s="10"/>
      <c r="E47" s="10"/>
      <c r="F47" s="10"/>
      <c r="G47" s="10"/>
      <c r="H47" s="10"/>
      <c r="I47" s="10"/>
      <c r="J47" s="10"/>
      <c r="K47" s="75"/>
      <c r="L47" s="76"/>
      <c r="M47" s="76"/>
      <c r="N47" s="76"/>
      <c r="O47" s="76"/>
      <c r="P47" s="76"/>
      <c r="Q47" s="76"/>
      <c r="R47" s="77"/>
      <c r="S47" s="10"/>
      <c r="T47" s="11"/>
      <c r="U47" s="11"/>
      <c r="V47" s="11"/>
      <c r="W47" s="10"/>
      <c r="X47" s="54"/>
      <c r="Y47" s="10"/>
      <c r="Z47" s="18"/>
      <c r="AA47" s="10"/>
    </row>
    <row r="48" spans="1:27" ht="15.95" customHeight="1">
      <c r="A48" s="10"/>
      <c r="B48" s="33"/>
      <c r="C48" s="33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34"/>
      <c r="O48" s="34"/>
      <c r="P48" s="34"/>
      <c r="Q48" s="34"/>
      <c r="R48" s="34"/>
      <c r="S48" s="10"/>
      <c r="T48" s="11"/>
      <c r="U48" s="11"/>
      <c r="V48" s="11"/>
      <c r="W48" s="10"/>
      <c r="X48" s="54"/>
      <c r="Y48" s="10"/>
      <c r="Z48" s="18"/>
      <c r="AA48" s="10"/>
    </row>
    <row r="49" spans="1:27" ht="15.95" customHeight="1">
      <c r="A49" s="10"/>
      <c r="B49" s="33"/>
      <c r="C49" s="33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34"/>
      <c r="O49" s="34"/>
      <c r="P49" s="34"/>
      <c r="Q49" s="34"/>
      <c r="R49" s="34"/>
      <c r="S49" s="10"/>
      <c r="T49" s="11"/>
      <c r="U49" s="11"/>
      <c r="V49" s="11"/>
      <c r="W49" s="10"/>
      <c r="X49" s="55"/>
      <c r="Y49" s="34"/>
      <c r="Z49" s="59"/>
      <c r="AA49" s="10"/>
    </row>
    <row r="50" spans="1:27" ht="15.95" customHeight="1">
      <c r="A50" s="10"/>
      <c r="B50" s="33"/>
      <c r="C50" s="33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34"/>
      <c r="O50" s="34"/>
      <c r="P50" s="34"/>
      <c r="Q50" s="34"/>
      <c r="R50" s="34"/>
      <c r="S50" s="10"/>
      <c r="T50" s="11"/>
      <c r="U50" s="11"/>
      <c r="V50" s="11"/>
      <c r="W50" s="10"/>
      <c r="X50" s="55"/>
      <c r="Y50" s="34"/>
      <c r="Z50" s="59"/>
      <c r="AA50" s="10"/>
    </row>
    <row r="51" spans="1:27" ht="15.95" customHeight="1">
      <c r="A51" s="10"/>
      <c r="B51" s="33"/>
      <c r="C51" s="33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34"/>
      <c r="O51" s="34"/>
      <c r="P51" s="34"/>
      <c r="Q51" s="34"/>
      <c r="R51" s="34"/>
      <c r="S51" s="10"/>
      <c r="T51" s="11"/>
      <c r="U51" s="11"/>
      <c r="V51" s="11"/>
      <c r="W51" s="10"/>
      <c r="X51" s="55"/>
      <c r="Y51" s="34"/>
      <c r="Z51" s="59"/>
      <c r="AA51" s="10"/>
    </row>
    <row r="52" spans="1:27" ht="15.95" customHeight="1">
      <c r="A52" s="10"/>
      <c r="B52" s="33"/>
      <c r="C52" s="33"/>
      <c r="D52" s="10"/>
      <c r="E52" s="10"/>
      <c r="F52" s="10"/>
      <c r="G52" s="10"/>
      <c r="H52" s="10"/>
      <c r="I52" s="10"/>
      <c r="J52" s="10"/>
      <c r="K52" s="40" t="s">
        <v>45</v>
      </c>
      <c r="L52" s="10"/>
      <c r="M52" s="69" t="s">
        <v>46</v>
      </c>
      <c r="N52" s="70"/>
      <c r="O52" s="70"/>
      <c r="P52" s="71"/>
      <c r="Q52" s="39"/>
      <c r="R52" s="41" t="s">
        <v>47</v>
      </c>
      <c r="S52" s="10"/>
      <c r="T52" s="11"/>
      <c r="U52" s="11"/>
      <c r="V52" s="11"/>
      <c r="W52" s="10"/>
      <c r="X52" s="55"/>
      <c r="Y52" s="34"/>
      <c r="Z52" s="59"/>
      <c r="AA52" s="10"/>
    </row>
    <row r="53" spans="1:27" ht="15.95" customHeight="1">
      <c r="A53" s="10"/>
      <c r="B53" s="33"/>
      <c r="C53" s="33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34"/>
      <c r="O53" s="34"/>
      <c r="P53" s="34"/>
      <c r="Q53" s="34"/>
      <c r="R53" s="34"/>
      <c r="S53" s="10"/>
      <c r="T53" s="11"/>
      <c r="U53" s="11"/>
      <c r="V53" s="11"/>
      <c r="W53" s="10"/>
      <c r="X53" s="55"/>
      <c r="Y53" s="34"/>
      <c r="Z53" s="59"/>
      <c r="AA53" s="10"/>
    </row>
    <row r="54" spans="1:27">
      <c r="A54" s="10"/>
      <c r="B54" s="33"/>
      <c r="C54" s="33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1"/>
      <c r="U54" s="11"/>
      <c r="V54" s="11"/>
      <c r="W54" s="60"/>
      <c r="X54" s="61"/>
      <c r="Y54" s="60"/>
      <c r="Z54" s="62"/>
      <c r="AA54" s="10"/>
    </row>
    <row r="55" spans="1:27">
      <c r="A55" s="11"/>
      <c r="B55" s="35"/>
      <c r="C55" s="35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0"/>
      <c r="X55" s="63"/>
      <c r="Y55" s="63"/>
      <c r="Z55" s="63"/>
      <c r="AA55" s="10"/>
    </row>
    <row r="56" spans="1:27">
      <c r="A56" s="11"/>
      <c r="B56" s="35"/>
      <c r="C56" s="35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0"/>
      <c r="X56" s="63"/>
      <c r="Y56" s="63"/>
      <c r="Z56" s="63"/>
      <c r="AA56" s="10"/>
    </row>
    <row r="57" spans="1:27">
      <c r="A57" s="11"/>
      <c r="B57" s="35"/>
      <c r="C57" s="35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0"/>
      <c r="X57" s="63"/>
      <c r="Y57" s="63"/>
      <c r="Z57" s="63"/>
      <c r="AA57" s="10"/>
    </row>
    <row r="58" spans="1:27">
      <c r="A58" s="11"/>
      <c r="B58" s="35"/>
      <c r="C58" s="35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0"/>
      <c r="X58" s="63"/>
      <c r="Y58" s="63"/>
      <c r="Z58" s="63"/>
      <c r="AA58" s="10"/>
    </row>
    <row r="59" spans="1:27">
      <c r="A59" s="11"/>
      <c r="B59" s="35"/>
      <c r="C59" s="35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0"/>
      <c r="X59" s="63"/>
      <c r="Y59" s="63"/>
      <c r="Z59" s="63"/>
      <c r="AA59" s="10"/>
    </row>
  </sheetData>
  <sheetProtection algorithmName="SHA-512" hashValue="8TN5y3LS8R8urDsp+GuLvDxroDULf9GQuPdj1BkPxFMV/8NR1aXVcoK18JyVu+G5szs9/MY6OGcWE7xAP+6P+A==" saltValue="hqsE+XXM9hMMgBY7EbxmpA==" spinCount="100000" sheet="1" selectLockedCells="1"/>
  <mergeCells count="42">
    <mergeCell ref="X9:X10"/>
    <mergeCell ref="X13:Z13"/>
    <mergeCell ref="B8:D8"/>
    <mergeCell ref="E8:F8"/>
    <mergeCell ref="B4:F4"/>
    <mergeCell ref="B6:D6"/>
    <mergeCell ref="E6:F6"/>
    <mergeCell ref="B7:D7"/>
    <mergeCell ref="E7:F7"/>
    <mergeCell ref="I13:I14"/>
    <mergeCell ref="J13:J14"/>
    <mergeCell ref="G13:G14"/>
    <mergeCell ref="H13:H14"/>
    <mergeCell ref="K13:K14"/>
    <mergeCell ref="P34:R35"/>
    <mergeCell ref="P25:R25"/>
    <mergeCell ref="B9:D9"/>
    <mergeCell ref="E9:F9"/>
    <mergeCell ref="C13:C14"/>
    <mergeCell ref="B10:D10"/>
    <mergeCell ref="E10:F10"/>
    <mergeCell ref="B13:B14"/>
    <mergeCell ref="D13:D14"/>
    <mergeCell ref="E13:F13"/>
    <mergeCell ref="M13:N13"/>
    <mergeCell ref="P32:R33"/>
    <mergeCell ref="P26:R26"/>
    <mergeCell ref="P27:R28"/>
    <mergeCell ref="P12:R13"/>
    <mergeCell ref="P14:R15"/>
    <mergeCell ref="P17:R17"/>
    <mergeCell ref="P18:R19"/>
    <mergeCell ref="P20:R20"/>
    <mergeCell ref="P21:Q22"/>
    <mergeCell ref="P29:R29"/>
    <mergeCell ref="R21:R22"/>
    <mergeCell ref="M52:P52"/>
    <mergeCell ref="K41:R45"/>
    <mergeCell ref="K46:R47"/>
    <mergeCell ref="B37:D38"/>
    <mergeCell ref="E37:F37"/>
    <mergeCell ref="E38:F38"/>
  </mergeCells>
  <printOptions horizontalCentered="1" verticalCentered="1"/>
  <pageMargins left="0.2" right="0.2" top="0.25" bottom="0.25" header="0.3" footer="0.3"/>
  <pageSetup scale="62" orientation="landscape" horizontalDpi="0" verticalDpi="0"/>
  <drawing r:id="rId1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30DF975A-64B7-E24D-A5AE-13C19D980E3C}">
          <x14:formula1>
            <xm:f>Hoja1!$B$4:$B$6</xm:f>
          </x14:formula1>
          <xm:sqref>I10</xm:sqref>
        </x14:dataValidation>
        <x14:dataValidation type="list" allowBlank="1" showInputMessage="1" showErrorMessage="1" xr:uid="{D01DD8AA-A2A0-544A-8AC6-0392E85C0AAB}">
          <x14:formula1>
            <xm:f>Hoja1!$D$4:$D$46</xm:f>
          </x14:formula1>
          <xm:sqref>G4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18E67-81BD-3C4B-9566-5E0AE539BA6A}">
  <dimension ref="B3:D46"/>
  <sheetViews>
    <sheetView topLeftCell="A39" workbookViewId="0">
      <selection activeCell="F47" sqref="F47"/>
    </sheetView>
  </sheetViews>
  <sheetFormatPr defaultColWidth="11" defaultRowHeight="15.95"/>
  <cols>
    <col min="2" max="4" width="10.875" style="5"/>
  </cols>
  <sheetData>
    <row r="3" spans="2:4">
      <c r="B3" s="5" t="s">
        <v>48</v>
      </c>
      <c r="D3" s="5" t="s">
        <v>49</v>
      </c>
    </row>
    <row r="4" spans="2:4">
      <c r="B4" s="5">
        <v>5</v>
      </c>
      <c r="D4" s="5">
        <v>18</v>
      </c>
    </row>
    <row r="5" spans="2:4">
      <c r="B5" s="5">
        <v>10</v>
      </c>
      <c r="D5" s="5">
        <v>19</v>
      </c>
    </row>
    <row r="6" spans="2:4">
      <c r="B6" s="5">
        <v>20</v>
      </c>
      <c r="D6" s="5">
        <v>20</v>
      </c>
    </row>
    <row r="7" spans="2:4">
      <c r="D7" s="5">
        <v>21</v>
      </c>
    </row>
    <row r="8" spans="2:4">
      <c r="D8" s="5">
        <v>22</v>
      </c>
    </row>
    <row r="9" spans="2:4">
      <c r="D9" s="5">
        <v>23</v>
      </c>
    </row>
    <row r="10" spans="2:4">
      <c r="D10" s="5">
        <v>24</v>
      </c>
    </row>
    <row r="11" spans="2:4">
      <c r="D11" s="5">
        <v>25</v>
      </c>
    </row>
    <row r="12" spans="2:4">
      <c r="D12" s="5">
        <v>26</v>
      </c>
    </row>
    <row r="13" spans="2:4">
      <c r="D13" s="5">
        <v>27</v>
      </c>
    </row>
    <row r="14" spans="2:4">
      <c r="D14" s="5">
        <v>28</v>
      </c>
    </row>
    <row r="15" spans="2:4">
      <c r="D15" s="5">
        <v>29</v>
      </c>
    </row>
    <row r="16" spans="2:4">
      <c r="D16" s="5">
        <v>30</v>
      </c>
    </row>
    <row r="17" spans="4:4">
      <c r="D17" s="5">
        <v>31</v>
      </c>
    </row>
    <row r="18" spans="4:4">
      <c r="D18" s="5">
        <v>32</v>
      </c>
    </row>
    <row r="19" spans="4:4">
      <c r="D19" s="5">
        <v>33</v>
      </c>
    </row>
    <row r="20" spans="4:4">
      <c r="D20" s="5">
        <v>34</v>
      </c>
    </row>
    <row r="21" spans="4:4">
      <c r="D21" s="5">
        <v>35</v>
      </c>
    </row>
    <row r="22" spans="4:4">
      <c r="D22" s="5">
        <v>36</v>
      </c>
    </row>
    <row r="23" spans="4:4">
      <c r="D23" s="5">
        <v>37</v>
      </c>
    </row>
    <row r="24" spans="4:4">
      <c r="D24" s="5">
        <v>38</v>
      </c>
    </row>
    <row r="25" spans="4:4">
      <c r="D25" s="5">
        <v>39</v>
      </c>
    </row>
    <row r="26" spans="4:4">
      <c r="D26" s="5">
        <v>40</v>
      </c>
    </row>
    <row r="27" spans="4:4">
      <c r="D27" s="5">
        <v>41</v>
      </c>
    </row>
    <row r="28" spans="4:4">
      <c r="D28" s="5">
        <v>42</v>
      </c>
    </row>
    <row r="29" spans="4:4">
      <c r="D29" s="5">
        <v>43</v>
      </c>
    </row>
    <row r="30" spans="4:4">
      <c r="D30" s="5">
        <v>44</v>
      </c>
    </row>
    <row r="31" spans="4:4">
      <c r="D31" s="5">
        <v>45</v>
      </c>
    </row>
    <row r="32" spans="4:4">
      <c r="D32" s="5">
        <v>46</v>
      </c>
    </row>
    <row r="33" spans="4:4">
      <c r="D33" s="5">
        <v>47</v>
      </c>
    </row>
    <row r="34" spans="4:4">
      <c r="D34" s="5">
        <v>48</v>
      </c>
    </row>
    <row r="35" spans="4:4">
      <c r="D35" s="5">
        <v>49</v>
      </c>
    </row>
    <row r="36" spans="4:4">
      <c r="D36" s="5">
        <v>50</v>
      </c>
    </row>
    <row r="37" spans="4:4">
      <c r="D37" s="5">
        <v>51</v>
      </c>
    </row>
    <row r="38" spans="4:4">
      <c r="D38" s="5">
        <v>52</v>
      </c>
    </row>
    <row r="39" spans="4:4">
      <c r="D39" s="5">
        <v>53</v>
      </c>
    </row>
    <row r="40" spans="4:4">
      <c r="D40" s="5">
        <v>54</v>
      </c>
    </row>
    <row r="41" spans="4:4">
      <c r="D41" s="5">
        <v>55</v>
      </c>
    </row>
    <row r="42" spans="4:4">
      <c r="D42" s="5">
        <v>56</v>
      </c>
    </row>
    <row r="43" spans="4:4">
      <c r="D43" s="5">
        <v>57</v>
      </c>
    </row>
    <row r="44" spans="4:4">
      <c r="D44" s="5">
        <v>58</v>
      </c>
    </row>
    <row r="45" spans="4:4">
      <c r="D45" s="5">
        <v>59</v>
      </c>
    </row>
    <row r="46" spans="4:4">
      <c r="D46" s="5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 Sanz Cerrada</dc:creator>
  <cp:keywords/>
  <dc:description/>
  <cp:lastModifiedBy/>
  <cp:revision/>
  <dcterms:created xsi:type="dcterms:W3CDTF">2024-10-11T16:29:52Z</dcterms:created>
  <dcterms:modified xsi:type="dcterms:W3CDTF">2025-05-09T17:15:34Z</dcterms:modified>
  <cp:category/>
  <cp:contentStatus/>
</cp:coreProperties>
</file>